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revisions/revisionLog121.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revisions/revisionHeaders.xml" ContentType="application/vnd.openxmlformats-officedocument.spreadsheetml.revisionHeader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revisions/revisionLog12.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docProps/core.xml" ContentType="application/vnd.openxmlformats-package.core-properties+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80" yWindow="-210" windowWidth="8900" windowHeight="8310" tabRatio="866" firstSheet="3" activeTab="3"/>
  </bookViews>
  <sheets>
    <sheet name="Guide" sheetId="1" r:id="rId1"/>
    <sheet name="FY2013 by Approp Title" sheetId="2" r:id="rId2"/>
    <sheet name="FY2013 By Approp Title-Adj" sheetId="3" r:id="rId3"/>
    <sheet name="FY 2013 by Agency" sheetId="4" r:id="rId4"/>
    <sheet name="FY 2013 by Agency-Adj" sheetId="5" r:id="rId5"/>
    <sheet name="Inflator" sheetId="9" r:id="rId6"/>
    <sheet name="Changes" sheetId="11" state="hidden" r:id="rId7"/>
    <sheet name="FY 2013 Notes" sheetId="12" r:id="rId8"/>
    <sheet name="Budget Shifts" sheetId="10" r:id="rId9"/>
    <sheet name="Sheet 4" sheetId="8" state="hidden" r:id="rId10"/>
    <sheet name="Sheet 5" sheetId="6" state="hidden" r:id="rId11"/>
    <sheet name="Sheet 6" sheetId="7" state="hidden" r:id="rId12"/>
  </sheets>
  <definedNames>
    <definedName name="Z_1E5198E1_BA46_4CE0_8628_4F695B0D7A3B_.wvu.Cols" localSheetId="1" hidden="1">'FY2013 by Approp Title'!$AA:$AA</definedName>
    <definedName name="Z_1E5198E1_BA46_4CE0_8628_4F695B0D7A3B_.wvu.Cols" localSheetId="2" hidden="1">'FY2013 By Approp Title-Adj'!$AA:$AA</definedName>
    <definedName name="Z_1E5198E1_BA46_4CE0_8628_4F695B0D7A3B_.wvu.Rows" localSheetId="3" hidden="1">'FY 2013 by Agency'!$1:$3,'FY 2013 by Agency'!$227:$241</definedName>
    <definedName name="Z_1E5198E1_BA46_4CE0_8628_4F695B0D7A3B_.wvu.Rows" localSheetId="4" hidden="1">'FY 2013 by Agency-Adj'!$1:$3,'FY 2013 by Agency-Adj'!$228:$242</definedName>
    <definedName name="Z_1E5198E1_BA46_4CE0_8628_4F695B0D7A3B_.wvu.Rows" localSheetId="9" hidden="1">'Sheet 4'!$1:$6</definedName>
    <definedName name="Z_1E5198E1_BA46_4CE0_8628_4F695B0D7A3B_.wvu.Rows" localSheetId="10" hidden="1">'Sheet 5'!#REF!,'Sheet 5'!#REF!</definedName>
    <definedName name="Z_1E5198E1_BA46_4CE0_8628_4F695B0D7A3B_.wvu.Rows" localSheetId="11" hidden="1">'Sheet 6'!#REF!</definedName>
    <definedName name="Z_455630F5_40FC_47DB_8AD4_712C20B8FB91_.wvu.Cols" localSheetId="3" hidden="1">'FY 2013 by Agency'!$D:$E,'FY 2013 by Agency'!$G:$H,'FY 2013 by Agency'!$J:$K,'FY 2013 by Agency'!$M:$N,'FY 2013 by Agency'!$P:$Q,'FY 2013 by Agency'!$S:$T,'FY 2013 by Agency'!$V:$W,'FY 2013 by Agency'!$Y:$Z,'FY 2013 by Agency'!$AB:$AE,'FY 2013 by Agency'!$AG:$AO,'FY 2013 by Agency'!$AV:$AW,'FY 2013 by Agency'!$AY:$AZ,'FY 2013 by Agency'!$BF:$BG</definedName>
    <definedName name="Z_455630F5_40FC_47DB_8AD4_712C20B8FB91_.wvu.Cols" localSheetId="4" hidden="1">'FY 2013 by Agency-Adj'!$AD:$AE,'FY 2013 by Agency-Adj'!$AI:$BK</definedName>
    <definedName name="Z_455630F5_40FC_47DB_8AD4_712C20B8FB91_.wvu.Cols" localSheetId="1" hidden="1">'FY2013 by Approp Title'!$AA:$AA</definedName>
    <definedName name="Z_455630F5_40FC_47DB_8AD4_712C20B8FB91_.wvu.Cols" localSheetId="2" hidden="1">'FY2013 By Approp Title-Adj'!$AA:$AA</definedName>
    <definedName name="Z_455630F5_40FC_47DB_8AD4_712C20B8FB91_.wvu.Rows" localSheetId="3" hidden="1">'FY 2013 by Agency'!$1:$3,'FY 2013 by Agency'!$227:$241</definedName>
    <definedName name="Z_455630F5_40FC_47DB_8AD4_712C20B8FB91_.wvu.Rows" localSheetId="4" hidden="1">'FY 2013 by Agency-Adj'!$1:$3,'FY 2013 by Agency-Adj'!$14:$14,'FY 2013 by Agency-Adj'!$19:$19,'FY 2013 by Agency-Adj'!$157:$157,'FY 2013 by Agency-Adj'!$164:$164,'FY 2013 by Agency-Adj'!$228:$242</definedName>
    <definedName name="Z_455630F5_40FC_47DB_8AD4_712C20B8FB91_.wvu.Rows" localSheetId="9" hidden="1">'Sheet 4'!$1:$6</definedName>
    <definedName name="Z_50528D02_548E_47E0_94D7_D1E79CD3569C_.wvu.Cols" localSheetId="3" hidden="1">'FY 2013 by Agency'!$D:$E,'FY 2013 by Agency'!$G:$H,'FY 2013 by Agency'!$J:$K,'FY 2013 by Agency'!$M:$N,'FY 2013 by Agency'!$P:$Q,'FY 2013 by Agency'!$S:$T,'FY 2013 by Agency'!$V:$W,'FY 2013 by Agency'!$Y:$Z,'FY 2013 by Agency'!$AB:$AE,'FY 2013 by Agency'!$AG:$AO,'FY 2013 by Agency'!$AV:$AW,'FY 2013 by Agency'!$AY:$AZ,'FY 2013 by Agency'!$BF:$BG</definedName>
    <definedName name="Z_50528D02_548E_47E0_94D7_D1E79CD3569C_.wvu.Cols" localSheetId="4" hidden="1">'FY 2013 by Agency-Adj'!$AD:$AE,'FY 2013 by Agency-Adj'!$AI:$BK,'FY 2013 by Agency-Adj'!$BO:$BT</definedName>
    <definedName name="Z_50528D02_548E_47E0_94D7_D1E79CD3569C_.wvu.Cols" localSheetId="1" hidden="1">'FY2013 by Approp Title'!$AA:$AA</definedName>
    <definedName name="Z_50528D02_548E_47E0_94D7_D1E79CD3569C_.wvu.Cols" localSheetId="2" hidden="1">'FY2013 By Approp Title-Adj'!$AA:$AA</definedName>
    <definedName name="Z_50528D02_548E_47E0_94D7_D1E79CD3569C_.wvu.Rows" localSheetId="3" hidden="1">'FY 2013 by Agency'!$1:$3,'FY 2013 by Agency'!$227:$241</definedName>
    <definedName name="Z_50528D02_548E_47E0_94D7_D1E79CD3569C_.wvu.Rows" localSheetId="4" hidden="1">'FY 2013 by Agency-Adj'!$1:$3,'FY 2013 by Agency-Adj'!$14:$14,'FY 2013 by Agency-Adj'!$19:$19,'FY 2013 by Agency-Adj'!$157:$157,'FY 2013 by Agency-Adj'!$164:$164,'FY 2013 by Agency-Adj'!$228:$242</definedName>
    <definedName name="Z_50528D02_548E_47E0_94D7_D1E79CD3569C_.wvu.Rows" localSheetId="9" hidden="1">'Sheet 4'!$1:$6</definedName>
    <definedName name="Z_567C3053_2D8E_4705_8DC7_18896C5303CA_.wvu.Cols" localSheetId="3" hidden="1">'FY 2013 by Agency'!$BQ:$BQ</definedName>
    <definedName name="Z_567C3053_2D8E_4705_8DC7_18896C5303CA_.wvu.Cols" localSheetId="4" hidden="1">'FY 2013 by Agency-Adj'!$AJ:$AM,'FY 2013 by Agency-Adj'!$AP:$AS,'FY 2013 by Agency-Adj'!$BX:$BX</definedName>
    <definedName name="Z_567C3053_2D8E_4705_8DC7_18896C5303CA_.wvu.Cols" localSheetId="1" hidden="1">'FY2013 by Approp Title'!$AA:$AA</definedName>
    <definedName name="Z_567C3053_2D8E_4705_8DC7_18896C5303CA_.wvu.Cols" localSheetId="2" hidden="1">'FY2013 By Approp Title-Adj'!$AA:$AA</definedName>
    <definedName name="Z_567C3053_2D8E_4705_8DC7_18896C5303CA_.wvu.Rows" localSheetId="3" hidden="1">'FY 2013 by Agency'!$1:$3,'FY 2013 by Agency'!$227:$241</definedName>
    <definedName name="Z_567C3053_2D8E_4705_8DC7_18896C5303CA_.wvu.Rows" localSheetId="4" hidden="1">'FY 2013 by Agency-Adj'!$1:$3,'FY 2013 by Agency-Adj'!$228:$242</definedName>
    <definedName name="Z_567C3053_2D8E_4705_8DC7_18896C5303CA_.wvu.Rows" localSheetId="9" hidden="1">'Sheet 4'!$1:$6</definedName>
    <definedName name="Z_78CA186D_B240_44D5_8A24_D241DE0B0FD9_.wvu.Cols" localSheetId="3" hidden="1">'FY 2013 by Agency'!$D:$E,'FY 2013 by Agency'!$G:$H,'FY 2013 by Agency'!$J:$K,'FY 2013 by Agency'!$M:$N,'FY 2013 by Agency'!$P:$Q,'FY 2013 by Agency'!$S:$T,'FY 2013 by Agency'!$V:$W,'FY 2013 by Agency'!$Y:$Z,'FY 2013 by Agency'!$AB:$AE,'FY 2013 by Agency'!$AV:$AW,'FY 2013 by Agency'!$AY:$AZ,'FY 2013 by Agency'!$BF:$BG,'FY 2013 by Agency'!$BM:$BQ</definedName>
    <definedName name="Z_78CA186D_B240_44D5_8A24_D241DE0B0FD9_.wvu.Cols" localSheetId="4" hidden="1">'FY 2013 by Agency-Adj'!$AD:$AE,'FY 2013 by Agency-Adj'!$AI:$BK,'FY 2013 by Agency-Adj'!$BS:$CA</definedName>
    <definedName name="Z_78CA186D_B240_44D5_8A24_D241DE0B0FD9_.wvu.Cols" localSheetId="1" hidden="1">'FY2013 by Approp Title'!$AA:$AA</definedName>
    <definedName name="Z_78CA186D_B240_44D5_8A24_D241DE0B0FD9_.wvu.Cols" localSheetId="2" hidden="1">'FY2013 By Approp Title-Adj'!$AA:$AA</definedName>
    <definedName name="Z_78CA186D_B240_44D5_8A24_D241DE0B0FD9_.wvu.Rows" localSheetId="3" hidden="1">'FY 2013 by Agency'!$1:$3,'FY 2013 by Agency'!$227:$241</definedName>
    <definedName name="Z_78CA186D_B240_44D5_8A24_D241DE0B0FD9_.wvu.Rows" localSheetId="4" hidden="1">'FY 2013 by Agency-Adj'!$1:$3,'FY 2013 by Agency-Adj'!$14:$14,'FY 2013 by Agency-Adj'!$19:$19,'FY 2013 by Agency-Adj'!$157:$157,'FY 2013 by Agency-Adj'!$164:$164,'FY 2013 by Agency-Adj'!$228:$242</definedName>
    <definedName name="Z_78CA186D_B240_44D5_8A24_D241DE0B0FD9_.wvu.Rows" localSheetId="9" hidden="1">'Sheet 4'!$1:$6</definedName>
    <definedName name="Z_7A9890A5_7CC2_466F_AA52_39E8D428DC1C_.wvu.Cols" localSheetId="3" hidden="1">'FY 2013 by Agency'!$BQ:$BQ</definedName>
    <definedName name="Z_7A9890A5_7CC2_466F_AA52_39E8D428DC1C_.wvu.Cols" localSheetId="4" hidden="1">'FY 2013 by Agency-Adj'!$AJ:$AM,'FY 2013 by Agency-Adj'!$AP:$AS,'FY 2013 by Agency-Adj'!$BX:$BX</definedName>
    <definedName name="Z_7A9890A5_7CC2_466F_AA52_39E8D428DC1C_.wvu.Cols" localSheetId="1" hidden="1">'FY2013 by Approp Title'!$AA:$AA</definedName>
    <definedName name="Z_7A9890A5_7CC2_466F_AA52_39E8D428DC1C_.wvu.Cols" localSheetId="2" hidden="1">'FY2013 By Approp Title-Adj'!$AA:$AA</definedName>
    <definedName name="Z_7A9890A5_7CC2_466F_AA52_39E8D428DC1C_.wvu.Rows" localSheetId="3" hidden="1">'FY 2013 by Agency'!$1:$3,'FY 2013 by Agency'!$227:$241</definedName>
    <definedName name="Z_7A9890A5_7CC2_466F_AA52_39E8D428DC1C_.wvu.Rows" localSheetId="4" hidden="1">'FY 2013 by Agency-Adj'!$1:$3,'FY 2013 by Agency-Adj'!$228:$242</definedName>
    <definedName name="Z_7A9890A5_7CC2_466F_AA52_39E8D428DC1C_.wvu.Rows" localSheetId="9" hidden="1">'Sheet 4'!$1:$6</definedName>
    <definedName name="Z_8F508F4D_4777_42BE_9707_8CB9355F7BDB_.wvu.Cols" localSheetId="4" hidden="1">'FY 2013 by Agency-Adj'!$V:$AB,'FY 2013 by Agency-Adj'!$AJ:$AM</definedName>
    <definedName name="Z_8F508F4D_4777_42BE_9707_8CB9355F7BDB_.wvu.Cols" localSheetId="1" hidden="1">'FY2013 by Approp Title'!$AA:$AA</definedName>
    <definedName name="Z_8F508F4D_4777_42BE_9707_8CB9355F7BDB_.wvu.Cols" localSheetId="2" hidden="1">'FY2013 By Approp Title-Adj'!$AA:$AA</definedName>
    <definedName name="Z_8F508F4D_4777_42BE_9707_8CB9355F7BDB_.wvu.Rows" localSheetId="3" hidden="1">'FY 2013 by Agency'!$1:$3,'FY 2013 by Agency'!$227:$241</definedName>
    <definedName name="Z_8F508F4D_4777_42BE_9707_8CB9355F7BDB_.wvu.Rows" localSheetId="4" hidden="1">'FY 2013 by Agency-Adj'!$1:$3,'FY 2013 by Agency-Adj'!$228:$242</definedName>
    <definedName name="Z_8F508F4D_4777_42BE_9707_8CB9355F7BDB_.wvu.Rows" localSheetId="9" hidden="1">'Sheet 4'!$1:$6</definedName>
    <definedName name="Z_8F508F4D_4777_42BE_9707_8CB9355F7BDB_.wvu.Rows" localSheetId="10" hidden="1">'Sheet 5'!#REF!,'Sheet 5'!#REF!</definedName>
    <definedName name="Z_8F508F4D_4777_42BE_9707_8CB9355F7BDB_.wvu.Rows" localSheetId="11" hidden="1">'Sheet 6'!#REF!</definedName>
    <definedName name="Z_94DA13B6_7351_40F3_8CF7_A4211EC439DA_.wvu.Cols" localSheetId="4" hidden="1">'FY 2013 by Agency-Adj'!$V:$AB,'FY 2013 by Agency-Adj'!$AJ:$AM,'FY 2013 by Agency-Adj'!$AP:$AS</definedName>
    <definedName name="Z_94DA13B6_7351_40F3_8CF7_A4211EC439DA_.wvu.Cols" localSheetId="1" hidden="1">'FY2013 by Approp Title'!$AA:$AA</definedName>
    <definedName name="Z_94DA13B6_7351_40F3_8CF7_A4211EC439DA_.wvu.Cols" localSheetId="2" hidden="1">'FY2013 By Approp Title-Adj'!$AA:$AA</definedName>
    <definedName name="Z_94DA13B6_7351_40F3_8CF7_A4211EC439DA_.wvu.Rows" localSheetId="3" hidden="1">'FY 2013 by Agency'!$1:$3,'FY 2013 by Agency'!$227:$241</definedName>
    <definedName name="Z_94DA13B6_7351_40F3_8CF7_A4211EC439DA_.wvu.Rows" localSheetId="4" hidden="1">'FY 2013 by Agency-Adj'!$1:$3,'FY 2013 by Agency-Adj'!$228:$242</definedName>
    <definedName name="Z_94DA13B6_7351_40F3_8CF7_A4211EC439DA_.wvu.Rows" localSheetId="9" hidden="1">'Sheet 4'!$1:$6</definedName>
    <definedName name="Z_94DA13B6_7351_40F3_8CF7_A4211EC439DA_.wvu.Rows" localSheetId="10" hidden="1">'Sheet 5'!#REF!,'Sheet 5'!#REF!</definedName>
    <definedName name="Z_94DA13B6_7351_40F3_8CF7_A4211EC439DA_.wvu.Rows" localSheetId="11" hidden="1">'Sheet 6'!#REF!</definedName>
    <definedName name="Z_9D4F0482_B164_4671_805A_E0D2D4DD4720_.wvu.Cols" localSheetId="3" hidden="1">'FY 2013 by Agency'!$AI:$AW</definedName>
    <definedName name="Z_9D4F0482_B164_4671_805A_E0D2D4DD4720_.wvu.Cols" localSheetId="4" hidden="1">'FY 2013 by Agency-Adj'!$AD:$AE,'FY 2013 by Agency-Adj'!$AI:$BJ</definedName>
    <definedName name="Z_9D4F0482_B164_4671_805A_E0D2D4DD4720_.wvu.Cols" localSheetId="1" hidden="1">'FY2013 by Approp Title'!$AA:$AA</definedName>
    <definedName name="Z_9D4F0482_B164_4671_805A_E0D2D4DD4720_.wvu.Cols" localSheetId="2" hidden="1">'FY2013 By Approp Title-Adj'!$AA:$AA</definedName>
    <definedName name="Z_9D4F0482_B164_4671_805A_E0D2D4DD4720_.wvu.Rows" localSheetId="3" hidden="1">'FY 2013 by Agency'!$1:$3,'FY 2013 by Agency'!$227:$241</definedName>
    <definedName name="Z_9D4F0482_B164_4671_805A_E0D2D4DD4720_.wvu.Rows" localSheetId="4" hidden="1">'FY 2013 by Agency-Adj'!$1:$3,'FY 2013 by Agency-Adj'!$14:$14,'FY 2013 by Agency-Adj'!$19:$19,'FY 2013 by Agency-Adj'!$149:$149,'FY 2013 by Agency-Adj'!$157:$157,'FY 2013 by Agency-Adj'!$164:$164,'FY 2013 by Agency-Adj'!$228:$242</definedName>
    <definedName name="Z_9D4F0482_B164_4671_805A_E0D2D4DD4720_.wvu.Rows" localSheetId="9" hidden="1">'Sheet 4'!$1:$6</definedName>
    <definedName name="Z_A2518DB3_3A80_4035_9307_EC50A7C923F2_.wvu.Cols" localSheetId="3" hidden="1">'FY 2013 by Agency'!$D:$E,'FY 2013 by Agency'!$G:$H,'FY 2013 by Agency'!$J:$K,'FY 2013 by Agency'!$M:$N,'FY 2013 by Agency'!$P:$Q,'FY 2013 by Agency'!$S:$T,'FY 2013 by Agency'!$V:$W,'FY 2013 by Agency'!$Y:$Z,'FY 2013 by Agency'!$AB:$AE,'FY 2013 by Agency'!$AG:$AO,'FY 2013 by Agency'!$AV:$AW,'FY 2013 by Agency'!$AY:$AZ,'FY 2013 by Agency'!$BF:$BG</definedName>
    <definedName name="Z_A2518DB3_3A80_4035_9307_EC50A7C923F2_.wvu.Cols" localSheetId="4" hidden="1">'FY 2013 by Agency-Adj'!$AD:$AE,'FY 2013 by Agency-Adj'!$AI:$BK,'FY 2013 by Agency-Adj'!$BO:$BT</definedName>
    <definedName name="Z_A2518DB3_3A80_4035_9307_EC50A7C923F2_.wvu.Cols" localSheetId="1" hidden="1">'FY2013 by Approp Title'!$AA:$AA</definedName>
    <definedName name="Z_A2518DB3_3A80_4035_9307_EC50A7C923F2_.wvu.Cols" localSheetId="2" hidden="1">'FY2013 By Approp Title-Adj'!$AA:$AA</definedName>
    <definedName name="Z_A2518DB3_3A80_4035_9307_EC50A7C923F2_.wvu.Rows" localSheetId="3" hidden="1">'FY 2013 by Agency'!$1:$3,'FY 2013 by Agency'!$227:$241</definedName>
    <definedName name="Z_A2518DB3_3A80_4035_9307_EC50A7C923F2_.wvu.Rows" localSheetId="4" hidden="1">'FY 2013 by Agency-Adj'!$1:$3,'FY 2013 by Agency-Adj'!$14:$14,'FY 2013 by Agency-Adj'!$19:$19,'FY 2013 by Agency-Adj'!$157:$157,'FY 2013 by Agency-Adj'!$164:$164,'FY 2013 by Agency-Adj'!$228:$242</definedName>
    <definedName name="Z_A2518DB3_3A80_4035_9307_EC50A7C923F2_.wvu.Rows" localSheetId="9" hidden="1">'Sheet 4'!$1:$6</definedName>
    <definedName name="Z_AEFEB150_9213_45F5_A178_7AC71E46DB11_.wvu.Cols" localSheetId="4" hidden="1">'FY 2013 by Agency-Adj'!$AJ:$AM</definedName>
    <definedName name="Z_AEFEB150_9213_45F5_A178_7AC71E46DB11_.wvu.Cols" localSheetId="1" hidden="1">'FY2013 by Approp Title'!$AA:$AA</definedName>
    <definedName name="Z_AEFEB150_9213_45F5_A178_7AC71E46DB11_.wvu.Cols" localSheetId="2" hidden="1">'FY2013 By Approp Title-Adj'!$AA:$AA</definedName>
    <definedName name="Z_AEFEB150_9213_45F5_A178_7AC71E46DB11_.wvu.Rows" localSheetId="3" hidden="1">'FY 2013 by Agency'!$1:$3,'FY 2013 by Agency'!$227:$241</definedName>
    <definedName name="Z_AEFEB150_9213_45F5_A178_7AC71E46DB11_.wvu.Rows" localSheetId="4" hidden="1">'FY 2013 by Agency-Adj'!$1:$3,'FY 2013 by Agency-Adj'!$228:$242</definedName>
    <definedName name="Z_AEFEB150_9213_45F5_A178_7AC71E46DB11_.wvu.Rows" localSheetId="9" hidden="1">'Sheet 4'!$1:$6</definedName>
    <definedName name="Z_E44F5FE1_54FC_4AB3_84F9_7D65ACF2DDE7_.wvu.Cols" localSheetId="3" hidden="1">'FY 2013 by Agency'!$AV:$AW</definedName>
    <definedName name="Z_E44F5FE1_54FC_4AB3_84F9_7D65ACF2DDE7_.wvu.Cols" localSheetId="4" hidden="1">'FY 2013 by Agency-Adj'!$AI:$BK,'FY 2013 by Agency-Adj'!$BO:$BT</definedName>
    <definedName name="Z_E44F5FE1_54FC_4AB3_84F9_7D65ACF2DDE7_.wvu.Cols" localSheetId="1" hidden="1">'FY2013 by Approp Title'!$AA:$AA</definedName>
    <definedName name="Z_E44F5FE1_54FC_4AB3_84F9_7D65ACF2DDE7_.wvu.Cols" localSheetId="2" hidden="1">'FY2013 By Approp Title-Adj'!$AA:$AA</definedName>
    <definedName name="Z_E44F5FE1_54FC_4AB3_84F9_7D65ACF2DDE7_.wvu.Rows" localSheetId="3" hidden="1">'FY 2013 by Agency'!$1:$3,'FY 2013 by Agency'!$227:$241</definedName>
    <definedName name="Z_E44F5FE1_54FC_4AB3_84F9_7D65ACF2DDE7_.wvu.Rows" localSheetId="4" hidden="1">'FY 2013 by Agency-Adj'!$1:$3,'FY 2013 by Agency-Adj'!$228:$242</definedName>
    <definedName name="Z_E44F5FE1_54FC_4AB3_84F9_7D65ACF2DDE7_.wvu.Rows" localSheetId="9" hidden="1">'Sheet 4'!$1:$6</definedName>
    <definedName name="Z_E44F5FE1_54FC_4AB3_84F9_7D65ACF2DDE7_.wvu.Rows" localSheetId="10" hidden="1">'Sheet 5'!#REF!,'Sheet 5'!#REF!</definedName>
    <definedName name="Z_E44F5FE1_54FC_4AB3_84F9_7D65ACF2DDE7_.wvu.Rows" localSheetId="11" hidden="1">'Sheet 6'!#REF!</definedName>
    <definedName name="Z_E81D05A4_5B21_42D3_A8D3_906ABCABC0F4_.wvu.Cols" localSheetId="3" hidden="1">'FY 2013 by Agency'!$D:$E,'FY 2013 by Agency'!$G:$H,'FY 2013 by Agency'!$J:$K,'FY 2013 by Agency'!$M:$N,'FY 2013 by Agency'!$P:$Q,'FY 2013 by Agency'!$S:$T,'FY 2013 by Agency'!$V:$W,'FY 2013 by Agency'!$Y:$Z,'FY 2013 by Agency'!$AB:$AE,'FY 2013 by Agency'!$AV:$AW,'FY 2013 by Agency'!$AY:$AZ,'FY 2013 by Agency'!$BF:$BG,'FY 2013 by Agency'!$BM:$BQ</definedName>
    <definedName name="Z_E81D05A4_5B21_42D3_A8D3_906ABCABC0F4_.wvu.Cols" localSheetId="4" hidden="1">'FY 2013 by Agency-Adj'!$AD:$AE,'FY 2013 by Agency-Adj'!$AI:$BK,'FY 2013 by Agency-Adj'!$BO:$BT</definedName>
    <definedName name="Z_E81D05A4_5B21_42D3_A8D3_906ABCABC0F4_.wvu.Cols" localSheetId="1" hidden="1">'FY2013 by Approp Title'!$AA:$AA</definedName>
    <definedName name="Z_E81D05A4_5B21_42D3_A8D3_906ABCABC0F4_.wvu.Cols" localSheetId="2" hidden="1">'FY2013 By Approp Title-Adj'!$AA:$AA</definedName>
    <definedName name="Z_E81D05A4_5B21_42D3_A8D3_906ABCABC0F4_.wvu.Rows" localSheetId="3" hidden="1">'FY 2013 by Agency'!$1:$3,'FY 2013 by Agency'!$227:$241</definedName>
    <definedName name="Z_E81D05A4_5B21_42D3_A8D3_906ABCABC0F4_.wvu.Rows" localSheetId="4" hidden="1">'FY 2013 by Agency-Adj'!$1:$3,'FY 2013 by Agency-Adj'!$14:$14,'FY 2013 by Agency-Adj'!$19:$19,'FY 2013 by Agency-Adj'!$157:$157,'FY 2013 by Agency-Adj'!$164:$164,'FY 2013 by Agency-Adj'!$228:$242</definedName>
    <definedName name="Z_E81D05A4_5B21_42D3_A8D3_906ABCABC0F4_.wvu.Rows" localSheetId="9" hidden="1">'Sheet 4'!$1:$6</definedName>
    <definedName name="Z_F784130D_F647_4ABA_8943_C79CA5B0FDC4_.wvu.Cols" localSheetId="4" hidden="1">'FY 2013 by Agency-Adj'!$AJ:$AM,'FY 2013 by Agency-Adj'!$AZ:$BH</definedName>
    <definedName name="Z_F784130D_F647_4ABA_8943_C79CA5B0FDC4_.wvu.Cols" localSheetId="1" hidden="1">'FY2013 by Approp Title'!$AA:$AA</definedName>
    <definedName name="Z_F784130D_F647_4ABA_8943_C79CA5B0FDC4_.wvu.Cols" localSheetId="2" hidden="1">'FY2013 By Approp Title-Adj'!$AA:$AA</definedName>
    <definedName name="Z_F784130D_F647_4ABA_8943_C79CA5B0FDC4_.wvu.Rows" localSheetId="3" hidden="1">'FY 2013 by Agency'!$1:$3,'FY 2013 by Agency'!$227:$241</definedName>
    <definedName name="Z_F784130D_F647_4ABA_8943_C79CA5B0FDC4_.wvu.Rows" localSheetId="4" hidden="1">'FY 2013 by Agency-Adj'!$1:$3,'FY 2013 by Agency-Adj'!$164:$164,'FY 2013 by Agency-Adj'!$228:$242</definedName>
    <definedName name="Z_F784130D_F647_4ABA_8943_C79CA5B0FDC4_.wvu.Rows" localSheetId="9" hidden="1">'Sheet 4'!$1:$6</definedName>
    <definedName name="Z_F784130D_F647_4ABA_8943_C79CA5B0FDC4_.wvu.Rows" localSheetId="10" hidden="1">'Sheet 5'!#REF!,'Sheet 5'!#REF!</definedName>
    <definedName name="Z_F784130D_F647_4ABA_8943_C79CA5B0FDC4_.wvu.Rows" localSheetId="11" hidden="1">'Sheet 6'!#REF!</definedName>
  </definedNames>
  <calcPr calcId="125725"/>
  <customWorkbookViews>
    <customWorkbookView name="Tina Marshall - Personal View" guid="{7A9890A5-7CC2-466F-AA52-39E8D428DC1C}" mergeInterval="0" personalView="1" maximized="1" windowWidth="1360" windowHeight="539" tabRatio="866" activeSheetId="4"/>
    <customWorkbookView name="silverman - Personal View" guid="{567C3053-2D8E-4705-8DC7-18896C5303CA}" mergeInterval="0" personalView="1" maximized="1" xWindow="1" yWindow="1" windowWidth="1436" windowHeight="574" tabRatio="866" activeSheetId="4"/>
    <customWorkbookView name="Ed Lazere - Personal View" guid="{AEFEB150-9213-45F5-A178-7AC71E46DB11}" mergeInterval="0" personalView="1" maximized="1" xWindow="1" yWindow="1" windowWidth="1436" windowHeight="670" tabRatio="866" activeSheetId="4"/>
    <customWorkbookView name="fulton - Personal View" guid="{E81D05A4-5B21-42D3-A8D3-906ABCABC0F4}" mergeInterval="0" personalView="1" maximized="1" xWindow="1" yWindow="1" windowWidth="704" windowHeight="658" tabRatio="866" activeSheetId="5"/>
    <customWorkbookView name="coventry - Personal View" guid="{A2518DB3-3A80-4035-9307-EC50A7C923F2}" mergeInterval="0" personalView="1" maximized="1" xWindow="1" yWindow="1" windowWidth="1436" windowHeight="670" tabRatio="866" activeSheetId="4"/>
    <customWorkbookView name="bhat - Personal View" guid="{50528D02-548E-47E0-94D7-D1E79CD3569C}" mergeInterval="0" personalView="1" maximized="1" xWindow="1" yWindow="1" windowWidth="1436" windowHeight="670" tabRatio="866" activeSheetId="4"/>
    <customWorkbookView name="j5xwEkb - Personal View" guid="{E44F5FE1-54FC-4AB3-84F9-7D65ACF2DDE7}" mergeInterval="0" personalView="1" maximized="1" xWindow="1" yWindow="1" windowWidth="1276" windowHeight="585" tabRatio="866" activeSheetId="5"/>
    <customWorkbookView name="williams - Personal View" guid="{94DA13B6-7351-40F3-8CF7-A4211EC439DA}" mergeInterval="0" personalView="1" maximized="1" xWindow="1" yWindow="1" windowWidth="1280" windowHeight="803" tabRatio="866" activeSheetId="4" showComments="commIndAndComment"/>
    <customWorkbookView name="kerstetter - Personal View" guid="{8F508F4D-4777-42BE-9707-8CB9355F7BDB}" mergeInterval="0" personalView="1" maximized="1" xWindow="1" yWindow="1" windowWidth="1436" windowHeight="670" tabRatio="866" activeSheetId="5"/>
    <customWorkbookView name="healy - Personal View" guid="{F784130D-F647-4ABA-8943-C79CA5B0FDC4}" mergeInterval="0" personalView="1" maximized="1" xWindow="1" yWindow="1" windowWidth="953" windowHeight="542" tabRatio="866" activeSheetId="4"/>
    <customWorkbookView name="gajdeczka - Personal View" guid="{1E5198E1-BA46-4CE0-8628-4F695B0D7A3B}" mergeInterval="0" personalView="1" maximized="1" xWindow="1" yWindow="1" windowWidth="1436" windowHeight="682" tabRatio="866" activeSheetId="5"/>
    <customWorkbookView name="biegler - Personal View" guid="{455630F5-40FC-47DB-8AD4-712C20B8FB91}" mergeInterval="0" personalView="1" maximized="1" xWindow="1" yWindow="1" windowWidth="1379" windowHeight="523" tabRatio="866" activeSheetId="3"/>
    <customWorkbookView name="Jenny Reed - Personal View" guid="{78CA186D-B240-44D5-8A24-D241DE0B0FD9}" mergeInterval="0" personalView="1" maximized="1" xWindow="1" yWindow="1" windowWidth="1020" windowHeight="547" tabRatio="866" activeSheetId="5"/>
    <customWorkbookView name="Kwame Boadi - Personal View" guid="{9D4F0482-B164-4671-805A-E0D2D4DD4720}" mergeInterval="0" personalView="1" maximized="1" xWindow="1" yWindow="1" windowWidth="1436" windowHeight="670" activeSheetId="5"/>
  </customWorkbookViews>
</workbook>
</file>

<file path=xl/calcChain.xml><?xml version="1.0" encoding="utf-8"?>
<calcChain xmlns="http://schemas.openxmlformats.org/spreadsheetml/2006/main">
  <c r="BO151" i="4"/>
  <c r="BP151" s="1"/>
  <c r="BR151" s="1"/>
  <c r="BN151"/>
  <c r="BP8"/>
  <c r="BR8" s="1"/>
  <c r="BP9"/>
  <c r="BR9" s="1"/>
  <c r="BP10"/>
  <c r="BP11"/>
  <c r="BP12"/>
  <c r="BR12" s="1"/>
  <c r="BP13"/>
  <c r="BR13" s="1"/>
  <c r="BP14"/>
  <c r="BP15"/>
  <c r="BP16"/>
  <c r="BR16" s="1"/>
  <c r="BP17"/>
  <c r="BR17" s="1"/>
  <c r="BP18"/>
  <c r="BP19"/>
  <c r="BP20"/>
  <c r="BR20" s="1"/>
  <c r="BP21"/>
  <c r="BR21" s="1"/>
  <c r="BP22"/>
  <c r="BP23"/>
  <c r="BP24"/>
  <c r="BR24" s="1"/>
  <c r="BP25"/>
  <c r="BR25" s="1"/>
  <c r="BP26"/>
  <c r="BP27"/>
  <c r="BP28"/>
  <c r="BR28" s="1"/>
  <c r="BP29"/>
  <c r="BR29" s="1"/>
  <c r="BP30"/>
  <c r="BP31"/>
  <c r="BP32"/>
  <c r="BR32" s="1"/>
  <c r="BP33"/>
  <c r="BR33" s="1"/>
  <c r="BP34"/>
  <c r="BP35"/>
  <c r="BP36"/>
  <c r="BR36" s="1"/>
  <c r="BP37"/>
  <c r="BR37" s="1"/>
  <c r="BP38"/>
  <c r="BP39"/>
  <c r="BP40"/>
  <c r="BR40" s="1"/>
  <c r="BP42"/>
  <c r="BP43"/>
  <c r="BP44"/>
  <c r="BR44" s="1"/>
  <c r="BP45"/>
  <c r="BR45" s="1"/>
  <c r="BP46"/>
  <c r="BR46" s="1"/>
  <c r="BP47"/>
  <c r="BP48"/>
  <c r="BR48" s="1"/>
  <c r="BP49"/>
  <c r="BR49" s="1"/>
  <c r="BP50"/>
  <c r="BR50" s="1"/>
  <c r="BP51"/>
  <c r="BP52"/>
  <c r="BR52" s="1"/>
  <c r="BP53"/>
  <c r="BR53" s="1"/>
  <c r="BP54"/>
  <c r="BR54" s="1"/>
  <c r="BP55"/>
  <c r="BP56"/>
  <c r="BR56" s="1"/>
  <c r="BP57"/>
  <c r="BR57" s="1"/>
  <c r="BP58"/>
  <c r="BP59"/>
  <c r="BR59" s="1"/>
  <c r="BP60"/>
  <c r="BR60" s="1"/>
  <c r="BP61"/>
  <c r="BR61" s="1"/>
  <c r="BP62"/>
  <c r="BR62" s="1"/>
  <c r="BP63"/>
  <c r="BP64"/>
  <c r="BR64" s="1"/>
  <c r="BP65"/>
  <c r="BR65" s="1"/>
  <c r="BP66"/>
  <c r="BP67"/>
  <c r="BP68"/>
  <c r="BR68" s="1"/>
  <c r="BP69"/>
  <c r="BR69" s="1"/>
  <c r="BP70"/>
  <c r="BR70" s="1"/>
  <c r="BP71"/>
  <c r="BR71" s="1"/>
  <c r="BP72"/>
  <c r="BR72" s="1"/>
  <c r="BP73"/>
  <c r="BR73" s="1"/>
  <c r="BP75"/>
  <c r="BP76"/>
  <c r="BP77"/>
  <c r="BP78"/>
  <c r="BR78" s="1"/>
  <c r="BP79"/>
  <c r="BR79" s="1"/>
  <c r="BP80"/>
  <c r="BP81"/>
  <c r="BP82"/>
  <c r="BR82" s="1"/>
  <c r="BP83"/>
  <c r="BP84"/>
  <c r="BR84" s="1"/>
  <c r="BP85"/>
  <c r="BP86"/>
  <c r="BR86" s="1"/>
  <c r="BP87"/>
  <c r="BP88"/>
  <c r="BP89"/>
  <c r="BP90"/>
  <c r="BR90" s="1"/>
  <c r="BP91"/>
  <c r="BP92"/>
  <c r="BP93"/>
  <c r="BP94"/>
  <c r="BR94" s="1"/>
  <c r="BP95"/>
  <c r="BR95" s="1"/>
  <c r="BP96"/>
  <c r="BP97"/>
  <c r="BP98"/>
  <c r="BR98" s="1"/>
  <c r="BP99"/>
  <c r="BP100"/>
  <c r="BR100" s="1"/>
  <c r="BP101"/>
  <c r="BP102"/>
  <c r="BR102" s="1"/>
  <c r="BP103"/>
  <c r="BP104"/>
  <c r="BP105"/>
  <c r="BP106"/>
  <c r="BR106" s="1"/>
  <c r="BP107"/>
  <c r="BP108"/>
  <c r="BP112"/>
  <c r="BR112" s="1"/>
  <c r="BP113"/>
  <c r="BR113" s="1"/>
  <c r="BP114"/>
  <c r="BR114" s="1"/>
  <c r="BP115"/>
  <c r="BP116"/>
  <c r="BR116" s="1"/>
  <c r="BP117"/>
  <c r="BR117" s="1"/>
  <c r="BP118"/>
  <c r="BR118" s="1"/>
  <c r="BP119"/>
  <c r="BP120"/>
  <c r="BR120" s="1"/>
  <c r="BP121"/>
  <c r="BR121" s="1"/>
  <c r="BP122"/>
  <c r="BR122" s="1"/>
  <c r="BP123"/>
  <c r="BP124"/>
  <c r="BR124" s="1"/>
  <c r="BP125"/>
  <c r="BR125" s="1"/>
  <c r="BP126"/>
  <c r="BP127"/>
  <c r="BR127" s="1"/>
  <c r="BP128"/>
  <c r="BR128" s="1"/>
  <c r="BP129"/>
  <c r="BR129" s="1"/>
  <c r="BP130"/>
  <c r="BR130" s="1"/>
  <c r="BP131"/>
  <c r="BP132"/>
  <c r="BR132" s="1"/>
  <c r="BP134"/>
  <c r="BP135"/>
  <c r="BP136"/>
  <c r="BR136" s="1"/>
  <c r="BP137"/>
  <c r="BP138"/>
  <c r="BP139"/>
  <c r="BP140"/>
  <c r="BR140" s="1"/>
  <c r="BP141"/>
  <c r="BP142"/>
  <c r="BP143"/>
  <c r="BP144"/>
  <c r="BR144" s="1"/>
  <c r="BP145"/>
  <c r="BP146"/>
  <c r="BP147"/>
  <c r="BP148"/>
  <c r="BR148" s="1"/>
  <c r="BP149"/>
  <c r="BP150"/>
  <c r="BP152"/>
  <c r="BR152" s="1"/>
  <c r="BP153"/>
  <c r="BP154"/>
  <c r="BP155"/>
  <c r="BP156"/>
  <c r="BR156" s="1"/>
  <c r="BP157"/>
  <c r="BP158"/>
  <c r="BP159"/>
  <c r="BP160"/>
  <c r="BR160" s="1"/>
  <c r="BP161"/>
  <c r="BP162"/>
  <c r="BP163"/>
  <c r="BP164"/>
  <c r="BR164" s="1"/>
  <c r="BP165"/>
  <c r="BP169"/>
  <c r="BR169" s="1"/>
  <c r="BP170"/>
  <c r="BP171"/>
  <c r="BP172"/>
  <c r="BR172" s="1"/>
  <c r="BP173"/>
  <c r="BR173" s="1"/>
  <c r="BP174"/>
  <c r="BR174" s="1"/>
  <c r="BP175"/>
  <c r="BR175" s="1"/>
  <c r="BP176"/>
  <c r="BR176" s="1"/>
  <c r="BP177"/>
  <c r="BR177" s="1"/>
  <c r="BP178"/>
  <c r="BP179"/>
  <c r="BP180"/>
  <c r="BR180" s="1"/>
  <c r="BP181"/>
  <c r="BR181" s="1"/>
  <c r="BP182"/>
  <c r="BR182" s="1"/>
  <c r="BP183"/>
  <c r="BP184"/>
  <c r="BR184" s="1"/>
  <c r="BP185"/>
  <c r="BR185" s="1"/>
  <c r="BP186"/>
  <c r="BR186" s="1"/>
  <c r="BP187"/>
  <c r="BP189"/>
  <c r="BP190"/>
  <c r="BR190" s="1"/>
  <c r="BP191"/>
  <c r="BP192"/>
  <c r="BR192" s="1"/>
  <c r="BP193"/>
  <c r="BP194"/>
  <c r="BR194" s="1"/>
  <c r="BP195"/>
  <c r="BP196"/>
  <c r="BP197"/>
  <c r="BP198"/>
  <c r="BR198" s="1"/>
  <c r="BP199"/>
  <c r="BP200"/>
  <c r="BP201"/>
  <c r="BP202"/>
  <c r="BR202" s="1"/>
  <c r="BP203"/>
  <c r="BR203" s="1"/>
  <c r="BP204"/>
  <c r="BP205"/>
  <c r="BP206"/>
  <c r="BR206" s="1"/>
  <c r="BP207"/>
  <c r="BP208"/>
  <c r="BR208" s="1"/>
  <c r="BP209"/>
  <c r="BP210"/>
  <c r="BR210" s="1"/>
  <c r="BP211"/>
  <c r="BP212"/>
  <c r="BP213"/>
  <c r="BP214"/>
  <c r="BR214" s="1"/>
  <c r="BP215"/>
  <c r="BP216"/>
  <c r="BP217"/>
  <c r="BP218"/>
  <c r="BR218" s="1"/>
  <c r="BP219"/>
  <c r="BR219" s="1"/>
  <c r="BP220"/>
  <c r="BP221"/>
  <c r="BP223"/>
  <c r="BR223" s="1"/>
  <c r="BP224"/>
  <c r="BR224" s="1"/>
  <c r="BP225"/>
  <c r="BP226"/>
  <c r="BP227"/>
  <c r="BR227" s="1"/>
  <c r="BP228"/>
  <c r="BR228" s="1"/>
  <c r="BP229"/>
  <c r="BP230"/>
  <c r="BP231"/>
  <c r="BR231" s="1"/>
  <c r="BP232"/>
  <c r="BR232" s="1"/>
  <c r="BP233"/>
  <c r="BP234"/>
  <c r="BP235"/>
  <c r="BR235" s="1"/>
  <c r="BP236"/>
  <c r="BR236" s="1"/>
  <c r="BP237"/>
  <c r="BP238"/>
  <c r="BP239"/>
  <c r="BR239" s="1"/>
  <c r="BP240"/>
  <c r="BR240" s="1"/>
  <c r="BP241"/>
  <c r="BO222"/>
  <c r="AO17" i="3" s="1"/>
  <c r="BO188" i="4"/>
  <c r="AO16" i="3" s="1"/>
  <c r="BO185" i="4"/>
  <c r="BO180"/>
  <c r="BO133"/>
  <c r="BO109"/>
  <c r="AO13" i="3" s="1"/>
  <c r="BO74" i="4"/>
  <c r="AO12" i="3" s="1"/>
  <c r="BO41" i="4"/>
  <c r="AO11" i="3" s="1"/>
  <c r="BO34" i="4"/>
  <c r="BO25"/>
  <c r="BO21"/>
  <c r="BY109" i="5"/>
  <c r="BY110" s="1"/>
  <c r="BY222"/>
  <c r="BY185"/>
  <c r="BY180"/>
  <c r="BY188" s="1"/>
  <c r="BY166"/>
  <c r="BY167" s="1"/>
  <c r="BY133"/>
  <c r="BY74"/>
  <c r="BY34"/>
  <c r="BY25"/>
  <c r="BY21"/>
  <c r="BY41" s="1"/>
  <c r="BP7" i="4"/>
  <c r="BR7" s="1"/>
  <c r="BW171" i="5"/>
  <c r="BZ171" s="1"/>
  <c r="CA171" s="1"/>
  <c r="BW170"/>
  <c r="BZ170" s="1"/>
  <c r="CA170" s="1"/>
  <c r="BZ39"/>
  <c r="CA39" s="1"/>
  <c r="BZ42"/>
  <c r="CA42" s="1"/>
  <c r="BZ43"/>
  <c r="CA43" s="1"/>
  <c r="BZ44"/>
  <c r="CA44" s="1"/>
  <c r="BZ45"/>
  <c r="CA45" s="1"/>
  <c r="BZ46"/>
  <c r="CA46" s="1"/>
  <c r="BZ47"/>
  <c r="CA47" s="1"/>
  <c r="BZ48"/>
  <c r="CA48" s="1"/>
  <c r="BZ49"/>
  <c r="CA49" s="1"/>
  <c r="BZ50"/>
  <c r="CA50" s="1"/>
  <c r="BZ75"/>
  <c r="CA75" s="1"/>
  <c r="BZ76"/>
  <c r="CA76" s="1"/>
  <c r="BZ77"/>
  <c r="CA77" s="1"/>
  <c r="BZ78"/>
  <c r="CA78" s="1"/>
  <c r="BZ79"/>
  <c r="CA79" s="1"/>
  <c r="BZ80"/>
  <c r="CA80" s="1"/>
  <c r="BZ81"/>
  <c r="CA81" s="1"/>
  <c r="BZ82"/>
  <c r="CA82" s="1"/>
  <c r="BZ83"/>
  <c r="CA83" s="1"/>
  <c r="BZ84"/>
  <c r="CA84" s="1"/>
  <c r="BZ107"/>
  <c r="CA107" s="1"/>
  <c r="BZ112"/>
  <c r="CA112" s="1"/>
  <c r="BZ113"/>
  <c r="CA113" s="1"/>
  <c r="BZ114"/>
  <c r="CA114" s="1"/>
  <c r="BZ115"/>
  <c r="CA115" s="1"/>
  <c r="BZ116"/>
  <c r="CA116" s="1"/>
  <c r="BZ117"/>
  <c r="CA117" s="1"/>
  <c r="BZ118"/>
  <c r="CA118" s="1"/>
  <c r="BZ119"/>
  <c r="CA119" s="1"/>
  <c r="BZ134"/>
  <c r="CA134" s="1"/>
  <c r="BZ135"/>
  <c r="CA135" s="1"/>
  <c r="BZ136"/>
  <c r="CA136" s="1"/>
  <c r="BZ137"/>
  <c r="CA137" s="1"/>
  <c r="BZ138"/>
  <c r="CA138" s="1"/>
  <c r="BZ139"/>
  <c r="CA139" s="1"/>
  <c r="BZ140"/>
  <c r="CA140" s="1"/>
  <c r="BZ141"/>
  <c r="CA141" s="1"/>
  <c r="BZ142"/>
  <c r="CA142" s="1"/>
  <c r="BZ143"/>
  <c r="CA143" s="1"/>
  <c r="BZ144"/>
  <c r="CA144" s="1"/>
  <c r="BZ145"/>
  <c r="CA145" s="1"/>
  <c r="BZ165"/>
  <c r="CA165" s="1"/>
  <c r="BZ169"/>
  <c r="CA169" s="1"/>
  <c r="BZ172"/>
  <c r="CA172" s="1"/>
  <c r="BZ173"/>
  <c r="CA173" s="1"/>
  <c r="BZ174"/>
  <c r="CA174" s="1"/>
  <c r="BZ175"/>
  <c r="CA175" s="1"/>
  <c r="BZ176"/>
  <c r="CA176" s="1"/>
  <c r="BZ177"/>
  <c r="CA177" s="1"/>
  <c r="BZ178"/>
  <c r="CA178" s="1"/>
  <c r="BZ186"/>
  <c r="CA186" s="1"/>
  <c r="BZ189"/>
  <c r="CA189" s="1"/>
  <c r="BZ190"/>
  <c r="CA190" s="1"/>
  <c r="BZ191"/>
  <c r="CA191" s="1"/>
  <c r="BZ192"/>
  <c r="CA192" s="1"/>
  <c r="BZ193"/>
  <c r="CA193" s="1"/>
  <c r="BZ194"/>
  <c r="CA194" s="1"/>
  <c r="BZ195"/>
  <c r="CA195" s="1"/>
  <c r="BZ196"/>
  <c r="CA196" s="1"/>
  <c r="BZ197"/>
  <c r="CA197" s="1"/>
  <c r="BZ216"/>
  <c r="CA216" s="1"/>
  <c r="BZ223"/>
  <c r="CA223" s="1"/>
  <c r="BZ224"/>
  <c r="CA224" s="1"/>
  <c r="BZ225"/>
  <c r="CA225" s="1"/>
  <c r="BZ226"/>
  <c r="CA226" s="1"/>
  <c r="BZ227"/>
  <c r="CA227" s="1"/>
  <c r="BZ243"/>
  <c r="CA243" s="1"/>
  <c r="BZ245"/>
  <c r="CA245" s="1"/>
  <c r="BR10" i="4"/>
  <c r="BR11"/>
  <c r="BR14"/>
  <c r="BR15"/>
  <c r="BR18"/>
  <c r="BR19"/>
  <c r="BR22"/>
  <c r="BR23"/>
  <c r="BR26"/>
  <c r="BR27"/>
  <c r="BR30"/>
  <c r="BR31"/>
  <c r="BR34"/>
  <c r="BR35"/>
  <c r="BR38"/>
  <c r="BR39"/>
  <c r="BR42"/>
  <c r="BR43"/>
  <c r="BR47"/>
  <c r="BR51"/>
  <c r="BR55"/>
  <c r="BR58"/>
  <c r="BR63"/>
  <c r="BR66"/>
  <c r="BR67"/>
  <c r="BR75"/>
  <c r="BR76"/>
  <c r="BR77"/>
  <c r="BR80"/>
  <c r="BR81"/>
  <c r="BR83"/>
  <c r="BR85"/>
  <c r="BR87"/>
  <c r="BR88"/>
  <c r="BR89"/>
  <c r="BR91"/>
  <c r="BR92"/>
  <c r="BR93"/>
  <c r="BR96"/>
  <c r="BR97"/>
  <c r="BR99"/>
  <c r="BR101"/>
  <c r="BR103"/>
  <c r="BR104"/>
  <c r="BR105"/>
  <c r="BR107"/>
  <c r="BR108"/>
  <c r="BR115"/>
  <c r="BR119"/>
  <c r="BR123"/>
  <c r="BR126"/>
  <c r="BR131"/>
  <c r="BR134"/>
  <c r="BR135"/>
  <c r="BR137"/>
  <c r="BR138"/>
  <c r="BR139"/>
  <c r="BR141"/>
  <c r="BR142"/>
  <c r="BR143"/>
  <c r="BR145"/>
  <c r="BR146"/>
  <c r="BR147"/>
  <c r="BR149"/>
  <c r="BR150"/>
  <c r="BR153"/>
  <c r="BR154"/>
  <c r="BR155"/>
  <c r="BR157"/>
  <c r="BR158"/>
  <c r="BR159"/>
  <c r="BR161"/>
  <c r="BR162"/>
  <c r="BR163"/>
  <c r="BR165"/>
  <c r="BR170"/>
  <c r="BR171"/>
  <c r="BR178"/>
  <c r="BR179"/>
  <c r="BR183"/>
  <c r="BR187"/>
  <c r="BR189"/>
  <c r="BR191"/>
  <c r="BR193"/>
  <c r="BR195"/>
  <c r="BR196"/>
  <c r="BR197"/>
  <c r="BR199"/>
  <c r="BR200"/>
  <c r="BR201"/>
  <c r="BR204"/>
  <c r="BR205"/>
  <c r="BR207"/>
  <c r="BR209"/>
  <c r="BR211"/>
  <c r="BR212"/>
  <c r="BR213"/>
  <c r="BR215"/>
  <c r="BR216"/>
  <c r="BR217"/>
  <c r="BR220"/>
  <c r="BR221"/>
  <c r="BR225"/>
  <c r="BR226"/>
  <c r="BR229"/>
  <c r="BR230"/>
  <c r="BR233"/>
  <c r="BR234"/>
  <c r="BR237"/>
  <c r="BR238"/>
  <c r="BR241"/>
  <c r="BP243"/>
  <c r="BR243" s="1"/>
  <c r="BE166"/>
  <c r="AK15" i="2" s="1"/>
  <c r="AX71" i="4"/>
  <c r="BE71"/>
  <c r="BN71"/>
  <c r="BE86"/>
  <c r="BE25"/>
  <c r="BO166" l="1"/>
  <c r="AO15" i="3" s="1"/>
  <c r="BY242" i="5"/>
  <c r="BY244"/>
  <c r="BY111"/>
  <c r="BO111" i="4"/>
  <c r="BP111" s="1"/>
  <c r="AO11" i="2"/>
  <c r="AO12"/>
  <c r="AO14"/>
  <c r="AO16"/>
  <c r="AO14" i="3"/>
  <c r="BO110" i="4"/>
  <c r="BP110" s="1"/>
  <c r="AO13" i="2"/>
  <c r="AO15"/>
  <c r="AP15" s="1"/>
  <c r="AO17"/>
  <c r="BY168" i="5"/>
  <c r="BW222"/>
  <c r="BW185"/>
  <c r="BW181"/>
  <c r="BW180"/>
  <c r="BW151"/>
  <c r="BW166" s="1"/>
  <c r="BW167" s="1"/>
  <c r="BZ167" s="1"/>
  <c r="CA167" s="1"/>
  <c r="BW133"/>
  <c r="BW106"/>
  <c r="BW109" s="1"/>
  <c r="BW74"/>
  <c r="BW34"/>
  <c r="BW25"/>
  <c r="BW21"/>
  <c r="BN180" i="4"/>
  <c r="BN185"/>
  <c r="BN34"/>
  <c r="BN21"/>
  <c r="BN181"/>
  <c r="BO167" l="1"/>
  <c r="BP167" s="1"/>
  <c r="BO168"/>
  <c r="BP168" s="1"/>
  <c r="BO242"/>
  <c r="BP166"/>
  <c r="AO18" i="3"/>
  <c r="AO18" i="2"/>
  <c r="BW41" i="5"/>
  <c r="BW188"/>
  <c r="BW111"/>
  <c r="BZ111" s="1"/>
  <c r="CA111" s="1"/>
  <c r="BW110"/>
  <c r="BZ110" s="1"/>
  <c r="CA110" s="1"/>
  <c r="BW168"/>
  <c r="BZ168" s="1"/>
  <c r="CA168" s="1"/>
  <c r="AS179" i="4"/>
  <c r="BW245"/>
  <c r="BN166"/>
  <c r="AN15" i="2" s="1"/>
  <c r="BN133" i="4"/>
  <c r="BW244" i="5" l="1"/>
  <c r="AN14" i="2"/>
  <c r="BW242" i="5"/>
  <c r="BN109" i="4"/>
  <c r="AN13" i="2" s="1"/>
  <c r="BW40" i="4"/>
  <c r="BX40" i="5" s="1"/>
  <c r="BW15" i="4"/>
  <c r="BX15" i="5" s="1"/>
  <c r="BW151" i="4"/>
  <c r="BV41"/>
  <c r="BS41"/>
  <c r="BL27"/>
  <c r="BW26"/>
  <c r="BN41"/>
  <c r="AN11" i="2" s="1"/>
  <c r="BW107" i="4"/>
  <c r="BX107" s="1"/>
  <c r="BY107" s="1"/>
  <c r="BW41" l="1"/>
  <c r="BE151"/>
  <c r="BN25"/>
  <c r="BE106"/>
  <c r="BN168"/>
  <c r="BR168" s="1"/>
  <c r="BN111"/>
  <c r="BR111" s="1"/>
  <c r="BN167"/>
  <c r="BN110"/>
  <c r="BN74"/>
  <c r="AN12" i="2" s="1"/>
  <c r="BS74" i="4"/>
  <c r="BV74"/>
  <c r="BB51"/>
  <c r="BA51"/>
  <c r="BR110" l="1"/>
  <c r="BR166"/>
  <c r="BR167"/>
  <c r="BN222"/>
  <c r="BN106"/>
  <c r="BE85"/>
  <c r="BN188"/>
  <c r="BE181"/>
  <c r="AS199"/>
  <c r="AS200"/>
  <c r="AS201"/>
  <c r="AS202"/>
  <c r="AS203"/>
  <c r="AS204"/>
  <c r="AS205"/>
  <c r="AS206"/>
  <c r="AS207"/>
  <c r="AS208"/>
  <c r="AS210"/>
  <c r="AS211"/>
  <c r="AS212"/>
  <c r="AS213"/>
  <c r="AS214"/>
  <c r="AS215"/>
  <c r="AS216"/>
  <c r="AS217"/>
  <c r="AS218"/>
  <c r="AS219"/>
  <c r="AS220"/>
  <c r="AS221"/>
  <c r="AS164"/>
  <c r="AS40"/>
  <c r="BW8"/>
  <c r="BW9"/>
  <c r="BW10"/>
  <c r="BW11"/>
  <c r="BW12"/>
  <c r="BW13"/>
  <c r="BW14"/>
  <c r="BX14" i="5" s="1"/>
  <c r="BW16" i="4"/>
  <c r="BW17"/>
  <c r="BW18"/>
  <c r="BW19"/>
  <c r="BX19" i="5" s="1"/>
  <c r="BW20" i="4"/>
  <c r="BW21"/>
  <c r="BW22"/>
  <c r="BW23"/>
  <c r="BW24"/>
  <c r="BW25"/>
  <c r="BW27"/>
  <c r="BW28"/>
  <c r="BW29"/>
  <c r="BW30"/>
  <c r="BW31"/>
  <c r="BW32"/>
  <c r="BW33"/>
  <c r="BW34"/>
  <c r="BW35"/>
  <c r="BW36"/>
  <c r="BW37"/>
  <c r="BW38"/>
  <c r="BW39"/>
  <c r="BX39" s="1"/>
  <c r="BY39" s="1"/>
  <c r="BW42"/>
  <c r="BX42" s="1"/>
  <c r="BY42" s="1"/>
  <c r="BW43"/>
  <c r="BX43" s="1"/>
  <c r="BY43" s="1"/>
  <c r="BW44"/>
  <c r="BX44" s="1"/>
  <c r="BY44" s="1"/>
  <c r="BW45"/>
  <c r="BX45" s="1"/>
  <c r="BY45" s="1"/>
  <c r="BW46"/>
  <c r="BX46" s="1"/>
  <c r="BY46" s="1"/>
  <c r="BW47"/>
  <c r="BX47" s="1"/>
  <c r="BY47" s="1"/>
  <c r="BW48"/>
  <c r="BX48" s="1"/>
  <c r="BY48" s="1"/>
  <c r="BW49"/>
  <c r="BX49" s="1"/>
  <c r="BY49" s="1"/>
  <c r="BW51"/>
  <c r="BW52"/>
  <c r="BW53"/>
  <c r="BW54"/>
  <c r="BW55"/>
  <c r="BW56"/>
  <c r="BW57"/>
  <c r="BW58"/>
  <c r="BW59"/>
  <c r="BW60"/>
  <c r="BW61"/>
  <c r="BW62"/>
  <c r="BW63"/>
  <c r="BW64"/>
  <c r="BW65"/>
  <c r="BW66"/>
  <c r="BW67"/>
  <c r="BW68"/>
  <c r="BW69"/>
  <c r="BW70"/>
  <c r="BW71"/>
  <c r="BW72"/>
  <c r="BW73"/>
  <c r="BW74"/>
  <c r="BW75"/>
  <c r="BX75" s="1"/>
  <c r="BY75" s="1"/>
  <c r="BW76"/>
  <c r="BX76" s="1"/>
  <c r="BY76" s="1"/>
  <c r="BW77"/>
  <c r="BX77" s="1"/>
  <c r="BY77" s="1"/>
  <c r="BW78"/>
  <c r="BX78" s="1"/>
  <c r="BY78" s="1"/>
  <c r="BW79"/>
  <c r="BX79" s="1"/>
  <c r="BY79" s="1"/>
  <c r="BW80"/>
  <c r="BX80" s="1"/>
  <c r="BY80" s="1"/>
  <c r="BW81"/>
  <c r="BX81" s="1"/>
  <c r="BY81" s="1"/>
  <c r="BW82"/>
  <c r="BX82" s="1"/>
  <c r="BY82" s="1"/>
  <c r="BW83"/>
  <c r="BX83" s="1"/>
  <c r="BY83" s="1"/>
  <c r="BW85"/>
  <c r="BW86"/>
  <c r="BW87"/>
  <c r="BW88"/>
  <c r="BW89"/>
  <c r="BW90"/>
  <c r="BW91"/>
  <c r="BW92"/>
  <c r="BW93"/>
  <c r="BW94"/>
  <c r="BW95"/>
  <c r="BW96"/>
  <c r="BW97"/>
  <c r="BW98"/>
  <c r="BW99"/>
  <c r="BW100"/>
  <c r="BW101"/>
  <c r="BW102"/>
  <c r="BW103"/>
  <c r="BW104"/>
  <c r="BW105"/>
  <c r="BW106"/>
  <c r="BW108"/>
  <c r="BX108" i="5" s="1"/>
  <c r="BW110" i="4"/>
  <c r="BW111"/>
  <c r="BW112"/>
  <c r="BX112" s="1"/>
  <c r="BY112" s="1"/>
  <c r="BW113"/>
  <c r="BX113" s="1"/>
  <c r="BY113" s="1"/>
  <c r="BW114"/>
  <c r="BX114" s="1"/>
  <c r="BY114" s="1"/>
  <c r="BW115"/>
  <c r="BX115" s="1"/>
  <c r="BY115" s="1"/>
  <c r="BW116"/>
  <c r="BX116" s="1"/>
  <c r="BY116" s="1"/>
  <c r="BW117"/>
  <c r="BX117" s="1"/>
  <c r="BY117" s="1"/>
  <c r="BW118"/>
  <c r="BX118" s="1"/>
  <c r="BY118" s="1"/>
  <c r="BW120"/>
  <c r="BW121"/>
  <c r="BW122"/>
  <c r="BW123"/>
  <c r="BW124"/>
  <c r="BW125"/>
  <c r="BW126"/>
  <c r="BW127"/>
  <c r="BW128"/>
  <c r="BW129"/>
  <c r="BW130"/>
  <c r="BW131"/>
  <c r="BW132"/>
  <c r="BW134"/>
  <c r="BX134" s="1"/>
  <c r="BY134" s="1"/>
  <c r="BW135"/>
  <c r="BX135" s="1"/>
  <c r="BY135" s="1"/>
  <c r="BW136"/>
  <c r="BX136" s="1"/>
  <c r="BY136" s="1"/>
  <c r="BW137"/>
  <c r="BX137" s="1"/>
  <c r="BY137" s="1"/>
  <c r="BW138"/>
  <c r="BX138" s="1"/>
  <c r="BY138" s="1"/>
  <c r="BW139"/>
  <c r="BX139" s="1"/>
  <c r="BY139" s="1"/>
  <c r="BW140"/>
  <c r="BX140" s="1"/>
  <c r="BY140" s="1"/>
  <c r="BW141"/>
  <c r="BX141" s="1"/>
  <c r="BY141" s="1"/>
  <c r="BW142"/>
  <c r="BX142" s="1"/>
  <c r="BY142" s="1"/>
  <c r="BW143"/>
  <c r="BX143" s="1"/>
  <c r="BY143" s="1"/>
  <c r="BW144"/>
  <c r="BX144" s="1"/>
  <c r="BY144" s="1"/>
  <c r="BW146"/>
  <c r="BW147"/>
  <c r="BW148"/>
  <c r="BW149"/>
  <c r="BW150"/>
  <c r="BW152"/>
  <c r="BW153"/>
  <c r="BW154"/>
  <c r="BW155"/>
  <c r="BW156"/>
  <c r="BW157"/>
  <c r="BW159"/>
  <c r="BW160"/>
  <c r="BW161"/>
  <c r="BW162"/>
  <c r="BW163"/>
  <c r="BW164"/>
  <c r="BX164" s="1"/>
  <c r="BY164" s="1"/>
  <c r="BW165"/>
  <c r="BX165" i="5" s="1"/>
  <c r="BW167" i="4"/>
  <c r="BW168"/>
  <c r="BW169"/>
  <c r="BX169" s="1"/>
  <c r="BY169" s="1"/>
  <c r="BW170"/>
  <c r="BX170" s="1"/>
  <c r="BY170" s="1"/>
  <c r="BW171"/>
  <c r="BX171" s="1"/>
  <c r="BY171" s="1"/>
  <c r="BW172"/>
  <c r="BX172" s="1"/>
  <c r="BY172" s="1"/>
  <c r="BW173"/>
  <c r="BX173" s="1"/>
  <c r="BY173" s="1"/>
  <c r="BW174"/>
  <c r="BX174" s="1"/>
  <c r="BY174" s="1"/>
  <c r="BW175"/>
  <c r="BX175" s="1"/>
  <c r="BY175" s="1"/>
  <c r="BW176"/>
  <c r="BX176" s="1"/>
  <c r="BY176" s="1"/>
  <c r="BW177"/>
  <c r="BX177" s="1"/>
  <c r="BY177" s="1"/>
  <c r="BW179"/>
  <c r="BW180"/>
  <c r="BW181"/>
  <c r="BW182"/>
  <c r="BW183"/>
  <c r="BW184"/>
  <c r="BW185"/>
  <c r="BW186"/>
  <c r="BX186" s="1"/>
  <c r="BY186" s="1"/>
  <c r="BW187"/>
  <c r="BW189"/>
  <c r="BX189" s="1"/>
  <c r="BY189" s="1"/>
  <c r="BW190"/>
  <c r="BX190" s="1"/>
  <c r="BY190" s="1"/>
  <c r="BW191"/>
  <c r="BX191" s="1"/>
  <c r="BY191" s="1"/>
  <c r="BW192"/>
  <c r="BX192" s="1"/>
  <c r="BY192" s="1"/>
  <c r="BW193"/>
  <c r="BX193" s="1"/>
  <c r="BY193" s="1"/>
  <c r="BW194"/>
  <c r="BX194" s="1"/>
  <c r="BY194" s="1"/>
  <c r="BW195"/>
  <c r="BX195" s="1"/>
  <c r="BY195" s="1"/>
  <c r="BW196"/>
  <c r="BX196" s="1"/>
  <c r="BY196" s="1"/>
  <c r="BW198"/>
  <c r="BW199"/>
  <c r="BW200"/>
  <c r="BW201"/>
  <c r="BW202"/>
  <c r="BW203"/>
  <c r="BW204"/>
  <c r="BW205"/>
  <c r="BW206"/>
  <c r="BW207"/>
  <c r="BW208"/>
  <c r="BW209"/>
  <c r="BW210"/>
  <c r="BW211"/>
  <c r="BW212"/>
  <c r="BW213"/>
  <c r="BW214"/>
  <c r="BW215"/>
  <c r="BW216"/>
  <c r="BW217"/>
  <c r="BW218"/>
  <c r="BW219"/>
  <c r="BW220"/>
  <c r="BW221"/>
  <c r="BW223"/>
  <c r="BX223" s="1"/>
  <c r="BY223" s="1"/>
  <c r="BW224"/>
  <c r="BX224" s="1"/>
  <c r="BY224" s="1"/>
  <c r="BW225"/>
  <c r="BX225" s="1"/>
  <c r="BY225" s="1"/>
  <c r="BW226"/>
  <c r="BX226" s="1"/>
  <c r="BY226" s="1"/>
  <c r="BW227"/>
  <c r="BW228"/>
  <c r="BW229"/>
  <c r="BW230"/>
  <c r="BW231"/>
  <c r="BW232"/>
  <c r="BW233"/>
  <c r="BW234"/>
  <c r="BW235"/>
  <c r="BW236"/>
  <c r="BW237"/>
  <c r="BW238"/>
  <c r="BW239"/>
  <c r="BW240"/>
  <c r="BW241"/>
  <c r="BW7"/>
  <c r="BL7"/>
  <c r="E11" i="9"/>
  <c r="E10"/>
  <c r="E9"/>
  <c r="E8"/>
  <c r="E7"/>
  <c r="E6"/>
  <c r="E5"/>
  <c r="E4"/>
  <c r="E3"/>
  <c r="E2"/>
  <c r="E12"/>
  <c r="E13"/>
  <c r="E14"/>
  <c r="E15"/>
  <c r="AN16" i="2" l="1"/>
  <c r="AN16" i="3" s="1"/>
  <c r="AN17" i="2"/>
  <c r="BW188" i="4"/>
  <c r="BW166"/>
  <c r="BW109"/>
  <c r="BW222"/>
  <c r="BN242"/>
  <c r="BW133"/>
  <c r="BX167"/>
  <c r="BY167" s="1"/>
  <c r="BX167" i="5"/>
  <c r="BX111" i="4"/>
  <c r="BY111" s="1"/>
  <c r="BX111" i="5"/>
  <c r="BX168" i="4"/>
  <c r="BY168" s="1"/>
  <c r="BX168" i="5"/>
  <c r="BX110" i="4"/>
  <c r="BY110" s="1"/>
  <c r="BX110" i="5"/>
  <c r="BX220"/>
  <c r="BX216"/>
  <c r="BX212"/>
  <c r="BX208"/>
  <c r="BX204"/>
  <c r="BX200"/>
  <c r="BX186"/>
  <c r="BX182"/>
  <c r="BX161"/>
  <c r="BX153"/>
  <c r="BX149"/>
  <c r="BX132"/>
  <c r="BX128"/>
  <c r="BX124"/>
  <c r="BX120"/>
  <c r="BX106"/>
  <c r="BX102"/>
  <c r="BX98"/>
  <c r="BX94"/>
  <c r="BX90"/>
  <c r="BX86"/>
  <c r="BX73"/>
  <c r="BX69"/>
  <c r="BX65"/>
  <c r="BX61"/>
  <c r="BX57"/>
  <c r="BX53"/>
  <c r="BX36"/>
  <c r="BX32"/>
  <c r="BX28"/>
  <c r="BX24"/>
  <c r="BX20"/>
  <c r="BX16"/>
  <c r="BX12"/>
  <c r="BX8"/>
  <c r="BX219"/>
  <c r="BX215"/>
  <c r="BX211"/>
  <c r="BX207"/>
  <c r="BX203"/>
  <c r="BX199"/>
  <c r="BX185"/>
  <c r="BX181"/>
  <c r="BX156"/>
  <c r="BX152"/>
  <c r="BX148"/>
  <c r="BX131"/>
  <c r="BX127"/>
  <c r="BX123"/>
  <c r="BX105"/>
  <c r="BX101"/>
  <c r="BX97"/>
  <c r="BX93"/>
  <c r="BX89"/>
  <c r="BX85"/>
  <c r="BX72"/>
  <c r="BX68"/>
  <c r="BX64"/>
  <c r="BX60"/>
  <c r="BX56"/>
  <c r="BX52"/>
  <c r="BX39"/>
  <c r="BX35"/>
  <c r="BX31"/>
  <c r="BX27"/>
  <c r="BX23"/>
  <c r="BX11"/>
  <c r="BX7"/>
  <c r="BX218"/>
  <c r="BX214"/>
  <c r="BX210"/>
  <c r="BX206"/>
  <c r="BX202"/>
  <c r="BX198"/>
  <c r="BX184"/>
  <c r="BX180"/>
  <c r="BX163"/>
  <c r="BX159"/>
  <c r="BX155"/>
  <c r="BX151"/>
  <c r="BX147"/>
  <c r="BX130"/>
  <c r="BX126"/>
  <c r="BX122"/>
  <c r="BX104"/>
  <c r="BX100"/>
  <c r="BX96"/>
  <c r="BX92"/>
  <c r="BX88"/>
  <c r="BX71"/>
  <c r="BX67"/>
  <c r="BX63"/>
  <c r="BX59"/>
  <c r="BX55"/>
  <c r="BX51"/>
  <c r="BX38"/>
  <c r="BX34"/>
  <c r="BX30"/>
  <c r="BX26"/>
  <c r="BX22"/>
  <c r="BX18"/>
  <c r="BX10"/>
  <c r="BX221"/>
  <c r="BX217"/>
  <c r="BX213"/>
  <c r="BX209"/>
  <c r="BX205"/>
  <c r="BX201"/>
  <c r="BX187"/>
  <c r="BX183"/>
  <c r="BX179"/>
  <c r="BX162"/>
  <c r="BX154"/>
  <c r="BX150"/>
  <c r="BX146"/>
  <c r="BX129"/>
  <c r="BX125"/>
  <c r="BX121"/>
  <c r="BX103"/>
  <c r="BX99"/>
  <c r="BX95"/>
  <c r="BX91"/>
  <c r="BX87"/>
  <c r="BX70"/>
  <c r="BX66"/>
  <c r="BX62"/>
  <c r="BX58"/>
  <c r="BX54"/>
  <c r="BX37"/>
  <c r="BX33"/>
  <c r="BX29"/>
  <c r="BX25"/>
  <c r="BX21"/>
  <c r="BX17"/>
  <c r="BX13"/>
  <c r="BX9"/>
  <c r="BX7" i="4"/>
  <c r="BY7" s="1"/>
  <c r="AN15" i="3"/>
  <c r="AN14"/>
  <c r="AN12"/>
  <c r="AN13"/>
  <c r="BX164" i="5"/>
  <c r="BX160"/>
  <c r="BX157"/>
  <c r="BC221" i="4"/>
  <c r="BD221" s="1"/>
  <c r="BC210"/>
  <c r="BC211"/>
  <c r="BD211" s="1"/>
  <c r="BC212"/>
  <c r="BC213"/>
  <c r="BD213" s="1"/>
  <c r="BC214"/>
  <c r="BD214" s="1"/>
  <c r="BC215"/>
  <c r="BD215" s="1"/>
  <c r="BC216"/>
  <c r="BC217"/>
  <c r="BD217" s="1"/>
  <c r="BC218"/>
  <c r="BD218" s="1"/>
  <c r="BC219"/>
  <c r="BD219" s="1"/>
  <c r="BC220"/>
  <c r="BD220" s="1"/>
  <c r="BC199"/>
  <c r="BD199" s="1"/>
  <c r="BC200"/>
  <c r="BD200" s="1"/>
  <c r="BC201"/>
  <c r="BD201" s="1"/>
  <c r="BC202"/>
  <c r="BD202" s="1"/>
  <c r="BC203"/>
  <c r="BC204"/>
  <c r="BD204" s="1"/>
  <c r="BC205"/>
  <c r="BD205" s="1"/>
  <c r="BC206"/>
  <c r="BD206" s="1"/>
  <c r="BC207"/>
  <c r="BD207" s="1"/>
  <c r="BC208"/>
  <c r="BC184"/>
  <c r="BD184" s="1"/>
  <c r="BC185"/>
  <c r="BC187"/>
  <c r="BD187" s="1"/>
  <c r="BC159"/>
  <c r="BD159" s="1"/>
  <c r="BC160"/>
  <c r="BD160" s="1"/>
  <c r="BC161"/>
  <c r="BD161" s="1"/>
  <c r="BC164"/>
  <c r="BD164" s="1"/>
  <c r="BC165"/>
  <c r="BC149"/>
  <c r="BC152"/>
  <c r="BD152" s="1"/>
  <c r="BC153"/>
  <c r="BD153" s="1"/>
  <c r="BC154"/>
  <c r="BD154" s="1"/>
  <c r="BC155"/>
  <c r="BD155" s="1"/>
  <c r="BC156"/>
  <c r="BD156" s="1"/>
  <c r="BC157"/>
  <c r="BC158"/>
  <c r="BD158" s="1"/>
  <c r="BC122"/>
  <c r="BD122" s="1"/>
  <c r="BC124"/>
  <c r="BD124" s="1"/>
  <c r="BC125"/>
  <c r="BD125" s="1"/>
  <c r="BC127"/>
  <c r="BD127" s="1"/>
  <c r="BC128"/>
  <c r="BC130"/>
  <c r="BD130" s="1"/>
  <c r="BC131"/>
  <c r="BD131" s="1"/>
  <c r="BC132"/>
  <c r="BD132" s="1"/>
  <c r="BC120"/>
  <c r="BD120" s="1"/>
  <c r="BC106"/>
  <c r="BD106" s="1"/>
  <c r="BC108"/>
  <c r="BD108" s="1"/>
  <c r="BC87"/>
  <c r="BD87" s="1"/>
  <c r="BC89"/>
  <c r="BD89" s="1"/>
  <c r="BC90"/>
  <c r="BD90" s="1"/>
  <c r="BC91"/>
  <c r="BC92"/>
  <c r="BC93"/>
  <c r="BC94"/>
  <c r="BD94" s="1"/>
  <c r="BC95"/>
  <c r="BD95" s="1"/>
  <c r="BC98"/>
  <c r="BD98" s="1"/>
  <c r="BC99"/>
  <c r="BD99" s="1"/>
  <c r="BC100"/>
  <c r="BD100" s="1"/>
  <c r="BC101"/>
  <c r="BC103"/>
  <c r="BD103" s="1"/>
  <c r="BC105"/>
  <c r="BD105" s="1"/>
  <c r="BC64"/>
  <c r="BD64" s="1"/>
  <c r="BC65"/>
  <c r="BC66"/>
  <c r="BD66" s="1"/>
  <c r="BC67"/>
  <c r="BD67" s="1"/>
  <c r="BC68"/>
  <c r="BD68" s="1"/>
  <c r="BC69"/>
  <c r="BD69" s="1"/>
  <c r="BC70"/>
  <c r="BC71"/>
  <c r="BD71" s="1"/>
  <c r="BC72"/>
  <c r="BC73"/>
  <c r="BD73" s="1"/>
  <c r="BC53"/>
  <c r="BD53" s="1"/>
  <c r="BC55"/>
  <c r="BD55" s="1"/>
  <c r="BC57"/>
  <c r="BD57" s="1"/>
  <c r="BC59"/>
  <c r="BC60"/>
  <c r="BD60" s="1"/>
  <c r="BC15"/>
  <c r="BD15" s="1"/>
  <c r="BC37"/>
  <c r="BD37" s="1"/>
  <c r="BC38"/>
  <c r="BC40"/>
  <c r="BC26"/>
  <c r="BD26" s="1"/>
  <c r="BC27"/>
  <c r="BD27" s="1"/>
  <c r="BC29"/>
  <c r="BD29" s="1"/>
  <c r="BC30"/>
  <c r="BD30" s="1"/>
  <c r="BC31"/>
  <c r="BD31" s="1"/>
  <c r="BC33"/>
  <c r="BD33" s="1"/>
  <c r="BC8"/>
  <c r="BD8" s="1"/>
  <c r="BC9"/>
  <c r="BD9" s="1"/>
  <c r="BC10"/>
  <c r="BD10" s="1"/>
  <c r="BC11"/>
  <c r="BC12"/>
  <c r="BC14"/>
  <c r="BC16"/>
  <c r="BD16" s="1"/>
  <c r="BC17"/>
  <c r="BC19"/>
  <c r="BC20"/>
  <c r="BD20" s="1"/>
  <c r="BC21"/>
  <c r="BD21" s="1"/>
  <c r="BC22"/>
  <c r="BC25"/>
  <c r="BC7"/>
  <c r="BD7" s="1"/>
  <c r="BB186"/>
  <c r="AS186" s="1"/>
  <c r="BA186"/>
  <c r="BC186" s="1"/>
  <c r="BD186" s="1"/>
  <c r="AN18" i="2" l="1"/>
  <c r="BX222" i="5"/>
  <c r="AN17" i="3"/>
  <c r="BW242" i="4"/>
  <c r="BX41" i="5"/>
  <c r="BX166"/>
  <c r="BX74"/>
  <c r="BX109"/>
  <c r="BX133"/>
  <c r="BX188"/>
  <c r="AN11" i="3"/>
  <c r="BB39" i="4"/>
  <c r="AS39" s="1"/>
  <c r="BA39"/>
  <c r="BB209"/>
  <c r="AS209" s="1"/>
  <c r="BA209"/>
  <c r="BB198"/>
  <c r="BA198"/>
  <c r="BB183"/>
  <c r="BA183"/>
  <c r="BB181"/>
  <c r="BA181"/>
  <c r="BB179"/>
  <c r="BA179"/>
  <c r="BB182"/>
  <c r="BA182"/>
  <c r="BB180"/>
  <c r="BA180"/>
  <c r="BB148"/>
  <c r="BA148"/>
  <c r="BB147"/>
  <c r="BA147"/>
  <c r="BB162"/>
  <c r="BA162"/>
  <c r="BB146"/>
  <c r="BA146"/>
  <c r="BB163"/>
  <c r="BA163"/>
  <c r="BB150"/>
  <c r="BA150"/>
  <c r="BB151"/>
  <c r="BA151"/>
  <c r="BB129"/>
  <c r="BA129"/>
  <c r="BB123"/>
  <c r="BA123"/>
  <c r="BB121"/>
  <c r="BA121"/>
  <c r="BB126"/>
  <c r="BA126"/>
  <c r="BB104"/>
  <c r="BA104"/>
  <c r="BB96"/>
  <c r="BA96"/>
  <c r="BB97"/>
  <c r="BA97"/>
  <c r="BB88"/>
  <c r="BA88"/>
  <c r="BB102"/>
  <c r="BA102"/>
  <c r="BB86"/>
  <c r="BA86"/>
  <c r="BB85"/>
  <c r="BB109" s="1"/>
  <c r="BA85"/>
  <c r="BB54"/>
  <c r="BA54"/>
  <c r="BB56"/>
  <c r="BA56"/>
  <c r="BB61"/>
  <c r="BA61"/>
  <c r="BB62"/>
  <c r="BA62"/>
  <c r="BB58"/>
  <c r="BA58"/>
  <c r="BB63"/>
  <c r="BA63"/>
  <c r="BB52"/>
  <c r="BA52"/>
  <c r="BB36"/>
  <c r="BA36"/>
  <c r="BB24"/>
  <c r="BA24"/>
  <c r="BA35"/>
  <c r="BC35" s="1"/>
  <c r="BD35" s="1"/>
  <c r="BB23"/>
  <c r="BA23"/>
  <c r="BB28"/>
  <c r="BA28"/>
  <c r="BB32"/>
  <c r="BA32"/>
  <c r="BB18"/>
  <c r="BA18"/>
  <c r="BB13"/>
  <c r="BA13"/>
  <c r="BB34"/>
  <c r="BA34"/>
  <c r="AX219"/>
  <c r="AX217"/>
  <c r="AX215"/>
  <c r="AX205"/>
  <c r="BE204"/>
  <c r="BE185"/>
  <c r="BE180"/>
  <c r="AX179"/>
  <c r="BE163"/>
  <c r="BE148"/>
  <c r="BE146"/>
  <c r="AX129"/>
  <c r="BE126"/>
  <c r="BE125"/>
  <c r="AX104"/>
  <c r="BE88"/>
  <c r="BE63"/>
  <c r="AX63"/>
  <c r="BE61"/>
  <c r="BE56"/>
  <c r="AX54"/>
  <c r="BE52"/>
  <c r="AX52"/>
  <c r="BE51"/>
  <c r="BE32"/>
  <c r="BE21"/>
  <c r="BE24"/>
  <c r="BE53"/>
  <c r="BE150"/>
  <c r="AX181"/>
  <c r="AX180"/>
  <c r="AX163"/>
  <c r="AX161"/>
  <c r="AX121"/>
  <c r="AX85"/>
  <c r="AX88"/>
  <c r="AX53"/>
  <c r="AX126"/>
  <c r="AX21"/>
  <c r="AX24"/>
  <c r="AX25"/>
  <c r="AX56"/>
  <c r="AX61"/>
  <c r="AN18" i="3" l="1"/>
  <c r="BX244" i="5"/>
  <c r="BB74" i="4"/>
  <c r="BB222"/>
  <c r="AS222" s="1"/>
  <c r="AS198"/>
  <c r="BB41"/>
  <c r="BC51"/>
  <c r="BD51" s="1"/>
  <c r="BC34"/>
  <c r="BD34" s="1"/>
  <c r="BC13"/>
  <c r="BD13" s="1"/>
  <c r="BC18"/>
  <c r="BD18" s="1"/>
  <c r="BC32"/>
  <c r="BD32" s="1"/>
  <c r="BC28"/>
  <c r="BD28" s="1"/>
  <c r="BC23"/>
  <c r="BD23" s="1"/>
  <c r="BB133"/>
  <c r="BB166"/>
  <c r="BB188"/>
  <c r="BC24"/>
  <c r="BD24" s="1"/>
  <c r="BC36"/>
  <c r="BD36" s="1"/>
  <c r="BC52"/>
  <c r="BD52" s="1"/>
  <c r="BC63"/>
  <c r="BD63" s="1"/>
  <c r="BC58"/>
  <c r="BD58" s="1"/>
  <c r="BC62"/>
  <c r="BD62" s="1"/>
  <c r="BC61"/>
  <c r="BD61" s="1"/>
  <c r="BC56"/>
  <c r="BD56" s="1"/>
  <c r="BC54"/>
  <c r="BD54" s="1"/>
  <c r="BC85"/>
  <c r="BD85" s="1"/>
  <c r="BC86"/>
  <c r="BD86" s="1"/>
  <c r="BC102"/>
  <c r="BD102" s="1"/>
  <c r="BC88"/>
  <c r="BD88" s="1"/>
  <c r="BC97"/>
  <c r="BD97" s="1"/>
  <c r="BC96"/>
  <c r="BD96" s="1"/>
  <c r="BC104"/>
  <c r="BD104" s="1"/>
  <c r="BC126"/>
  <c r="BD126" s="1"/>
  <c r="BC121"/>
  <c r="BD121" s="1"/>
  <c r="BC123"/>
  <c r="BD123" s="1"/>
  <c r="BC129"/>
  <c r="BD129" s="1"/>
  <c r="BC151"/>
  <c r="BD151" s="1"/>
  <c r="BC150"/>
  <c r="BD150" s="1"/>
  <c r="BC163"/>
  <c r="BD163" s="1"/>
  <c r="BC146"/>
  <c r="BD146" s="1"/>
  <c r="BC162"/>
  <c r="BD162" s="1"/>
  <c r="BC147"/>
  <c r="BD147" s="1"/>
  <c r="BC148"/>
  <c r="BD148" s="1"/>
  <c r="BC180"/>
  <c r="BD180" s="1"/>
  <c r="BC182"/>
  <c r="BD182" s="1"/>
  <c r="BC179"/>
  <c r="BD179" s="1"/>
  <c r="BC181"/>
  <c r="BD181" s="1"/>
  <c r="BC183"/>
  <c r="BD183" s="1"/>
  <c r="BC198"/>
  <c r="BD198" s="1"/>
  <c r="BC209"/>
  <c r="BD209" s="1"/>
  <c r="BC39"/>
  <c r="BD39" s="1"/>
  <c r="BE198"/>
  <c r="BE183"/>
  <c r="BE182"/>
  <c r="BE179"/>
  <c r="BL179" s="1"/>
  <c r="BX179" s="1"/>
  <c r="BY179" s="1"/>
  <c r="BE162"/>
  <c r="BE147"/>
  <c r="BE127"/>
  <c r="BE123"/>
  <c r="BE121"/>
  <c r="BE104"/>
  <c r="BE64"/>
  <c r="BE58"/>
  <c r="BE54"/>
  <c r="BE34"/>
  <c r="BL34" s="1"/>
  <c r="BX34" s="1"/>
  <c r="BY34" s="1"/>
  <c r="BE28"/>
  <c r="BE35"/>
  <c r="BE18"/>
  <c r="BE13"/>
  <c r="AX151"/>
  <c r="BL24"/>
  <c r="BX24" s="1"/>
  <c r="BY24" s="1"/>
  <c r="BL163"/>
  <c r="BX163" s="1"/>
  <c r="BY163" s="1"/>
  <c r="AA163"/>
  <c r="AF163"/>
  <c r="X56" l="1"/>
  <c r="AX146"/>
  <c r="AX124"/>
  <c r="U123"/>
  <c r="R123"/>
  <c r="O123"/>
  <c r="L123"/>
  <c r="I123"/>
  <c r="F123"/>
  <c r="C123"/>
  <c r="AX106"/>
  <c r="BL10"/>
  <c r="BX10" s="1"/>
  <c r="BY10" s="1"/>
  <c r="BK74"/>
  <c r="BK133"/>
  <c r="BK188"/>
  <c r="BK166"/>
  <c r="BK109"/>
  <c r="BL13"/>
  <c r="BX13" s="1"/>
  <c r="BY13" s="1"/>
  <c r="BK41"/>
  <c r="BK242" l="1"/>
  <c r="BH222"/>
  <c r="BH188"/>
  <c r="BH151"/>
  <c r="BH166" s="1"/>
  <c r="BH133"/>
  <c r="BH86"/>
  <c r="BH109" s="1"/>
  <c r="BH74" l="1"/>
  <c r="BH41"/>
  <c r="BL20"/>
  <c r="BL19"/>
  <c r="AA106"/>
  <c r="X106"/>
  <c r="AF106"/>
  <c r="AY106" s="1"/>
  <c r="BM241" i="5"/>
  <c r="BN241" s="1"/>
  <c r="BM240"/>
  <c r="BN240" s="1"/>
  <c r="BM239"/>
  <c r="BN239" s="1"/>
  <c r="BM238"/>
  <c r="BN238" s="1"/>
  <c r="BM237"/>
  <c r="BN237" s="1"/>
  <c r="BM236"/>
  <c r="BN236" s="1"/>
  <c r="BM235"/>
  <c r="BN235" s="1"/>
  <c r="BM234"/>
  <c r="BN234" s="1"/>
  <c r="BM233"/>
  <c r="BN233" s="1"/>
  <c r="BM232"/>
  <c r="BN232" s="1"/>
  <c r="BM231"/>
  <c r="BN231" s="1"/>
  <c r="BM230"/>
  <c r="BN230" s="1"/>
  <c r="BM229"/>
  <c r="BN229" s="1"/>
  <c r="BM228"/>
  <c r="BN228" s="1"/>
  <c r="BL241"/>
  <c r="BL240"/>
  <c r="BL239"/>
  <c r="BL238"/>
  <c r="BL237"/>
  <c r="BL236"/>
  <c r="BL235"/>
  <c r="BL234"/>
  <c r="BL233"/>
  <c r="BL232"/>
  <c r="BL231"/>
  <c r="BL230"/>
  <c r="BL229"/>
  <c r="BL228"/>
  <c r="I106" i="4"/>
  <c r="L106"/>
  <c r="O106"/>
  <c r="BU20" i="5" l="1"/>
  <c r="BX20" i="4"/>
  <c r="BY20" s="1"/>
  <c r="BU19" i="5"/>
  <c r="BX19" i="4"/>
  <c r="BY19" s="1"/>
  <c r="BH242"/>
  <c r="BL241"/>
  <c r="BL240"/>
  <c r="BL239"/>
  <c r="BL238"/>
  <c r="BL237"/>
  <c r="BL236"/>
  <c r="BL235"/>
  <c r="BL234"/>
  <c r="BL233"/>
  <c r="BL232"/>
  <c r="BL231"/>
  <c r="BL230"/>
  <c r="BL229"/>
  <c r="BL228"/>
  <c r="BL227"/>
  <c r="BL221"/>
  <c r="BL220"/>
  <c r="BL219"/>
  <c r="BL218"/>
  <c r="BL217"/>
  <c r="BL216"/>
  <c r="BL215"/>
  <c r="BL214"/>
  <c r="BL213"/>
  <c r="BL212"/>
  <c r="BL211"/>
  <c r="BL210"/>
  <c r="BL209"/>
  <c r="BL208"/>
  <c r="BL207"/>
  <c r="BL206"/>
  <c r="BL205"/>
  <c r="BL204"/>
  <c r="BL203"/>
  <c r="BL202"/>
  <c r="BL201"/>
  <c r="BL200"/>
  <c r="BL199"/>
  <c r="BL198"/>
  <c r="BL187"/>
  <c r="BL185"/>
  <c r="BL184"/>
  <c r="BL183"/>
  <c r="BL182"/>
  <c r="BL181"/>
  <c r="BL180"/>
  <c r="BU179" i="5"/>
  <c r="BL165" i="4"/>
  <c r="BU163" i="5"/>
  <c r="BL162" i="4"/>
  <c r="BL161"/>
  <c r="BL160"/>
  <c r="BL159"/>
  <c r="BL158"/>
  <c r="BL157"/>
  <c r="BL156"/>
  <c r="BL155"/>
  <c r="BL154"/>
  <c r="BL153"/>
  <c r="BL152"/>
  <c r="BL151"/>
  <c r="BX151" s="1"/>
  <c r="BY151" s="1"/>
  <c r="BL150"/>
  <c r="BL149"/>
  <c r="BL148"/>
  <c r="BL147"/>
  <c r="BL146"/>
  <c r="BL132"/>
  <c r="BL131"/>
  <c r="BL130"/>
  <c r="BL129"/>
  <c r="BL128"/>
  <c r="BL127"/>
  <c r="BL126"/>
  <c r="BL125"/>
  <c r="BL124"/>
  <c r="BL123"/>
  <c r="BL122"/>
  <c r="BL121"/>
  <c r="BL120"/>
  <c r="BL108"/>
  <c r="BL106"/>
  <c r="BL105"/>
  <c r="BL104"/>
  <c r="BL103"/>
  <c r="BL102"/>
  <c r="BL101"/>
  <c r="BL100"/>
  <c r="BL99"/>
  <c r="BL98"/>
  <c r="BX98" s="1"/>
  <c r="BY98" s="1"/>
  <c r="BL97"/>
  <c r="BX97" s="1"/>
  <c r="BY97" s="1"/>
  <c r="BL96"/>
  <c r="BX96" s="1"/>
  <c r="BY96" s="1"/>
  <c r="BL95"/>
  <c r="BX95" s="1"/>
  <c r="BY95" s="1"/>
  <c r="BL94"/>
  <c r="BX94" s="1"/>
  <c r="BY94" s="1"/>
  <c r="BL93"/>
  <c r="BL92"/>
  <c r="BL91"/>
  <c r="BL90"/>
  <c r="BL89"/>
  <c r="BX89" s="1"/>
  <c r="BY89" s="1"/>
  <c r="BL88"/>
  <c r="BX88" s="1"/>
  <c r="BY88" s="1"/>
  <c r="BL87"/>
  <c r="BL86"/>
  <c r="BX86" s="1"/>
  <c r="BY86" s="1"/>
  <c r="BL85"/>
  <c r="BX85" s="1"/>
  <c r="BY85" s="1"/>
  <c r="BL73"/>
  <c r="BL72"/>
  <c r="BL71"/>
  <c r="BL70"/>
  <c r="BL69"/>
  <c r="BL68"/>
  <c r="BL67"/>
  <c r="BL66"/>
  <c r="BL65"/>
  <c r="BL64"/>
  <c r="BL63"/>
  <c r="BL62"/>
  <c r="BL61"/>
  <c r="BL60"/>
  <c r="BL59"/>
  <c r="BL58"/>
  <c r="BL57"/>
  <c r="BL56"/>
  <c r="BL55"/>
  <c r="BL54"/>
  <c r="BL53"/>
  <c r="BL52"/>
  <c r="BL51"/>
  <c r="BL40"/>
  <c r="BL38"/>
  <c r="BL37"/>
  <c r="BL36"/>
  <c r="BL35"/>
  <c r="BU34" i="5"/>
  <c r="BL33" i="4"/>
  <c r="BL32"/>
  <c r="BL31"/>
  <c r="BL30"/>
  <c r="BL29"/>
  <c r="BL28"/>
  <c r="BL26"/>
  <c r="BL25"/>
  <c r="BU24" i="5"/>
  <c r="BL23" i="4"/>
  <c r="BL22"/>
  <c r="BL21"/>
  <c r="BL18"/>
  <c r="BL17"/>
  <c r="BL16"/>
  <c r="BL15"/>
  <c r="BL14"/>
  <c r="BU13" i="5"/>
  <c r="BL12" i="4"/>
  <c r="BL11"/>
  <c r="BU10" i="5"/>
  <c r="BL9" i="4"/>
  <c r="BL8"/>
  <c r="BU7" i="5"/>
  <c r="BL221"/>
  <c r="BM221" s="1"/>
  <c r="BL220"/>
  <c r="BL219"/>
  <c r="BL218"/>
  <c r="BL217"/>
  <c r="BL216"/>
  <c r="BL215"/>
  <c r="BL214"/>
  <c r="BL213"/>
  <c r="BL212"/>
  <c r="BL211"/>
  <c r="BL210"/>
  <c r="BL209"/>
  <c r="BL208"/>
  <c r="BL207"/>
  <c r="BL206"/>
  <c r="BL205"/>
  <c r="BL204"/>
  <c r="BL203"/>
  <c r="BL202"/>
  <c r="BL201"/>
  <c r="BL200"/>
  <c r="BL199"/>
  <c r="BL198"/>
  <c r="AR187" i="4"/>
  <c r="AS187" s="1"/>
  <c r="AR185"/>
  <c r="AS185" s="1"/>
  <c r="AR184"/>
  <c r="AS184" s="1"/>
  <c r="AS183"/>
  <c r="AS180"/>
  <c r="AQ166"/>
  <c r="AP166"/>
  <c r="AR165"/>
  <c r="AS165" s="1"/>
  <c r="AR163"/>
  <c r="AS163" s="1"/>
  <c r="AR162"/>
  <c r="AS162" s="1"/>
  <c r="AR161"/>
  <c r="AS161" s="1"/>
  <c r="AR160"/>
  <c r="AS160" s="1"/>
  <c r="AR159"/>
  <c r="AS159" s="1"/>
  <c r="AR158"/>
  <c r="AS158" s="1"/>
  <c r="AR157"/>
  <c r="AS157" s="1"/>
  <c r="AR156"/>
  <c r="AS156" s="1"/>
  <c r="AR155"/>
  <c r="AS155" s="1"/>
  <c r="AR154"/>
  <c r="AS154" s="1"/>
  <c r="AR153"/>
  <c r="AS153" s="1"/>
  <c r="AR152"/>
  <c r="AS152" s="1"/>
  <c r="AR151"/>
  <c r="AS151" s="1"/>
  <c r="AR150"/>
  <c r="AS150" s="1"/>
  <c r="AR149"/>
  <c r="AS149" s="1"/>
  <c r="AR148"/>
  <c r="AS148" s="1"/>
  <c r="AR147"/>
  <c r="AS147" s="1"/>
  <c r="AR146"/>
  <c r="AS146" s="1"/>
  <c r="AQ133"/>
  <c r="AP133"/>
  <c r="AR132"/>
  <c r="AS132" s="1"/>
  <c r="AR131"/>
  <c r="AS131" s="1"/>
  <c r="AR130"/>
  <c r="AS130" s="1"/>
  <c r="AR129"/>
  <c r="AS129" s="1"/>
  <c r="AR128"/>
  <c r="AS128" s="1"/>
  <c r="AR127"/>
  <c r="AS127" s="1"/>
  <c r="AR126"/>
  <c r="AS126" s="1"/>
  <c r="AR125"/>
  <c r="AS125" s="1"/>
  <c r="AR124"/>
  <c r="AS124" s="1"/>
  <c r="AR123"/>
  <c r="AS123" s="1"/>
  <c r="AR122"/>
  <c r="AS122" s="1"/>
  <c r="AR121"/>
  <c r="AS121" s="1"/>
  <c r="AR120"/>
  <c r="AS120" s="1"/>
  <c r="AQ109"/>
  <c r="AP109"/>
  <c r="AR108"/>
  <c r="AS108" s="1"/>
  <c r="AR106"/>
  <c r="AR105"/>
  <c r="AR104"/>
  <c r="AS104" s="1"/>
  <c r="AR103"/>
  <c r="AR102"/>
  <c r="AS102" s="1"/>
  <c r="AR101"/>
  <c r="AS101" s="1"/>
  <c r="AR100"/>
  <c r="AS100" s="1"/>
  <c r="AR99"/>
  <c r="AS99" s="1"/>
  <c r="AR98"/>
  <c r="AS98" s="1"/>
  <c r="AR97"/>
  <c r="AS97" s="1"/>
  <c r="AR96"/>
  <c r="AS96" s="1"/>
  <c r="AR95"/>
  <c r="AS95" s="1"/>
  <c r="AR94"/>
  <c r="AS94" s="1"/>
  <c r="AR93"/>
  <c r="AS93" s="1"/>
  <c r="AR92"/>
  <c r="AS92" s="1"/>
  <c r="AR91"/>
  <c r="AS91" s="1"/>
  <c r="AR90"/>
  <c r="AS90" s="1"/>
  <c r="AR89"/>
  <c r="AS89" s="1"/>
  <c r="AR88"/>
  <c r="AS88" s="1"/>
  <c r="AR87"/>
  <c r="AS87" s="1"/>
  <c r="AR86"/>
  <c r="AS86" s="1"/>
  <c r="AR85"/>
  <c r="AS85" s="1"/>
  <c r="AR73"/>
  <c r="AS73" s="1"/>
  <c r="AR72"/>
  <c r="AS72" s="1"/>
  <c r="AR71"/>
  <c r="AS71" s="1"/>
  <c r="AR70"/>
  <c r="AS70" s="1"/>
  <c r="AR69"/>
  <c r="AS69" s="1"/>
  <c r="AR68"/>
  <c r="AS68" s="1"/>
  <c r="AR67"/>
  <c r="AS67" s="1"/>
  <c r="AR66"/>
  <c r="AS66" s="1"/>
  <c r="AR65"/>
  <c r="AS65" s="1"/>
  <c r="AR64"/>
  <c r="AS64" s="1"/>
  <c r="AR63"/>
  <c r="AS63" s="1"/>
  <c r="AR62"/>
  <c r="AS62" s="1"/>
  <c r="AR61"/>
  <c r="AS61" s="1"/>
  <c r="AR60"/>
  <c r="AS60" s="1"/>
  <c r="AR59"/>
  <c r="AS59" s="1"/>
  <c r="AR58"/>
  <c r="AS58" s="1"/>
  <c r="AR57"/>
  <c r="AS57" s="1"/>
  <c r="AR56"/>
  <c r="AS56" s="1"/>
  <c r="AR55"/>
  <c r="AS55" s="1"/>
  <c r="AR54"/>
  <c r="AS54" s="1"/>
  <c r="AR53"/>
  <c r="AS53" s="1"/>
  <c r="AR52"/>
  <c r="AS52" s="1"/>
  <c r="AR51"/>
  <c r="AS51" s="1"/>
  <c r="AR38"/>
  <c r="AS38" s="1"/>
  <c r="AR37"/>
  <c r="AS37" s="1"/>
  <c r="AR36"/>
  <c r="AS36" s="1"/>
  <c r="AR35"/>
  <c r="AS35" s="1"/>
  <c r="AR34"/>
  <c r="AS34" s="1"/>
  <c r="AR33"/>
  <c r="AS33" s="1"/>
  <c r="AR32"/>
  <c r="AS32" s="1"/>
  <c r="AR31"/>
  <c r="AS31" s="1"/>
  <c r="AR30"/>
  <c r="AS30" s="1"/>
  <c r="AR29"/>
  <c r="AS29" s="1"/>
  <c r="AR28"/>
  <c r="AS28" s="1"/>
  <c r="AR27"/>
  <c r="AS27" s="1"/>
  <c r="BM27" s="1"/>
  <c r="AR26"/>
  <c r="AS26" s="1"/>
  <c r="AR25"/>
  <c r="AS25" s="1"/>
  <c r="AR24"/>
  <c r="AS24" s="1"/>
  <c r="AR23"/>
  <c r="AS23" s="1"/>
  <c r="AR22"/>
  <c r="AS22" s="1"/>
  <c r="AR21"/>
  <c r="AS21" s="1"/>
  <c r="AR20"/>
  <c r="AS20" s="1"/>
  <c r="AR19"/>
  <c r="AS19" s="1"/>
  <c r="AR18"/>
  <c r="AS18" s="1"/>
  <c r="AR17"/>
  <c r="AS17" s="1"/>
  <c r="AR16"/>
  <c r="AS16" s="1"/>
  <c r="AR15"/>
  <c r="AS15" s="1"/>
  <c r="AR14"/>
  <c r="AS14" s="1"/>
  <c r="AR13"/>
  <c r="AS13" s="1"/>
  <c r="AR12"/>
  <c r="AR11"/>
  <c r="AR10"/>
  <c r="AS10" s="1"/>
  <c r="AR9"/>
  <c r="AS9" s="1"/>
  <c r="AR8"/>
  <c r="AS8" s="1"/>
  <c r="AR7"/>
  <c r="AY163"/>
  <c r="BR163" i="5"/>
  <c r="BZ163" s="1"/>
  <c r="CA163" s="1"/>
  <c r="U146" i="4"/>
  <c r="R146"/>
  <c r="O146"/>
  <c r="L146"/>
  <c r="I146"/>
  <c r="F146"/>
  <c r="C146"/>
  <c r="B146"/>
  <c r="B146" i="5" s="1"/>
  <c r="M162" i="4"/>
  <c r="N162" s="1"/>
  <c r="M161"/>
  <c r="N161" s="1"/>
  <c r="J162"/>
  <c r="K162" s="1"/>
  <c r="J161"/>
  <c r="K161" s="1"/>
  <c r="G162"/>
  <c r="H162" s="1"/>
  <c r="G161"/>
  <c r="H161" s="1"/>
  <c r="D162"/>
  <c r="E162" s="1"/>
  <c r="D161"/>
  <c r="E161" s="1"/>
  <c r="D158"/>
  <c r="X150"/>
  <c r="U150"/>
  <c r="R150"/>
  <c r="O150"/>
  <c r="L150"/>
  <c r="I150"/>
  <c r="F150"/>
  <c r="C150"/>
  <c r="B150"/>
  <c r="G163"/>
  <c r="H163" s="1"/>
  <c r="D163"/>
  <c r="E163" s="1"/>
  <c r="M163"/>
  <c r="N163" s="1"/>
  <c r="J163"/>
  <c r="K163"/>
  <c r="S163"/>
  <c r="T163" s="1"/>
  <c r="V163"/>
  <c r="W163" s="1"/>
  <c r="P163"/>
  <c r="Q163" s="1"/>
  <c r="AS7" l="1"/>
  <c r="BM7" s="1"/>
  <c r="AS11"/>
  <c r="BL11" i="5" s="1"/>
  <c r="AS106" i="4"/>
  <c r="BL106" i="5" s="1"/>
  <c r="AS12" i="4"/>
  <c r="BL12" i="5" s="1"/>
  <c r="AS103" i="4"/>
  <c r="BL103" i="5" s="1"/>
  <c r="AS105" i="4"/>
  <c r="BL105" i="5" s="1"/>
  <c r="BU9"/>
  <c r="BX9" i="4"/>
  <c r="BY9" s="1"/>
  <c r="BU11" i="5"/>
  <c r="BX11" i="4"/>
  <c r="BY11" s="1"/>
  <c r="BU15" i="5"/>
  <c r="BX15" i="4"/>
  <c r="BY15" s="1"/>
  <c r="BU17" i="5"/>
  <c r="BX17" i="4"/>
  <c r="BY17" s="1"/>
  <c r="BU21" i="5"/>
  <c r="BX21" i="4"/>
  <c r="BY21" s="1"/>
  <c r="BU23" i="5"/>
  <c r="BX23" i="4"/>
  <c r="BY23" s="1"/>
  <c r="BU25" i="5"/>
  <c r="BX25" i="4"/>
  <c r="BY25" s="1"/>
  <c r="BU27" i="5"/>
  <c r="BX27" i="4"/>
  <c r="BY27" s="1"/>
  <c r="BU29" i="5"/>
  <c r="BX29" i="4"/>
  <c r="BY29" s="1"/>
  <c r="BU31" i="5"/>
  <c r="BX31" i="4"/>
  <c r="BY31" s="1"/>
  <c r="BU33" i="5"/>
  <c r="BX33" i="4"/>
  <c r="BY33" s="1"/>
  <c r="BU35" i="5"/>
  <c r="BX35" i="4"/>
  <c r="BY35" s="1"/>
  <c r="BU37" i="5"/>
  <c r="BX37" i="4"/>
  <c r="BY37" s="1"/>
  <c r="BU40" i="5"/>
  <c r="BX40" i="4"/>
  <c r="BY40" s="1"/>
  <c r="BU52" i="5"/>
  <c r="BX52" i="4"/>
  <c r="BY52" s="1"/>
  <c r="BU54" i="5"/>
  <c r="BX54" i="4"/>
  <c r="BY54" s="1"/>
  <c r="BU56" i="5"/>
  <c r="BX56" i="4"/>
  <c r="BY56" s="1"/>
  <c r="BU58" i="5"/>
  <c r="BX58" i="4"/>
  <c r="BY58" s="1"/>
  <c r="BU60" i="5"/>
  <c r="BX60" i="4"/>
  <c r="BY60" s="1"/>
  <c r="BU62" i="5"/>
  <c r="BX62" i="4"/>
  <c r="BY62" s="1"/>
  <c r="BU64" i="5"/>
  <c r="BX64" i="4"/>
  <c r="BY64" s="1"/>
  <c r="BU66" i="5"/>
  <c r="BX66" i="4"/>
  <c r="BY66" s="1"/>
  <c r="BU68" i="5"/>
  <c r="BX68" i="4"/>
  <c r="BY68" s="1"/>
  <c r="BU70" i="5"/>
  <c r="BX70" i="4"/>
  <c r="BY70" s="1"/>
  <c r="BU72" i="5"/>
  <c r="BX72" i="4"/>
  <c r="BY72" s="1"/>
  <c r="BU87" i="5"/>
  <c r="BX87" i="4"/>
  <c r="BY87" s="1"/>
  <c r="BU91" i="5"/>
  <c r="BX91" i="4"/>
  <c r="BY91" s="1"/>
  <c r="BU93" i="5"/>
  <c r="BX93" i="4"/>
  <c r="BY93" s="1"/>
  <c r="BU99" i="5"/>
  <c r="BX99" i="4"/>
  <c r="BY99" s="1"/>
  <c r="BU101" i="5"/>
  <c r="BX101" i="4"/>
  <c r="BY101" s="1"/>
  <c r="BU103" i="5"/>
  <c r="BX103" i="4"/>
  <c r="BY103" s="1"/>
  <c r="BU105" i="5"/>
  <c r="BX105" i="4"/>
  <c r="BY105" s="1"/>
  <c r="BU108" i="5"/>
  <c r="BX108" i="4"/>
  <c r="BY108" s="1"/>
  <c r="BU121" i="5"/>
  <c r="BX121" i="4"/>
  <c r="BY121" s="1"/>
  <c r="BU123" i="5"/>
  <c r="BX123" i="4"/>
  <c r="BY123" s="1"/>
  <c r="BU125" i="5"/>
  <c r="BX125" i="4"/>
  <c r="BY125" s="1"/>
  <c r="BU127" i="5"/>
  <c r="BX127" i="4"/>
  <c r="BY127" s="1"/>
  <c r="BU129" i="5"/>
  <c r="BX129" i="4"/>
  <c r="BY129" s="1"/>
  <c r="BU131" i="5"/>
  <c r="BX131" i="4"/>
  <c r="BY131" s="1"/>
  <c r="BU146" i="5"/>
  <c r="BX146" i="4"/>
  <c r="BY146" s="1"/>
  <c r="BU148" i="5"/>
  <c r="BX148" i="4"/>
  <c r="BY148" s="1"/>
  <c r="BU150" i="5"/>
  <c r="BX150" i="4"/>
  <c r="BY150" s="1"/>
  <c r="BU152" i="5"/>
  <c r="BX152" i="4"/>
  <c r="BY152" s="1"/>
  <c r="BU154" i="5"/>
  <c r="BX154" i="4"/>
  <c r="BY154" s="1"/>
  <c r="BU156" i="5"/>
  <c r="BX156" i="4"/>
  <c r="BY156" s="1"/>
  <c r="BU158" i="5"/>
  <c r="BX158" i="4"/>
  <c r="BY158" s="1"/>
  <c r="BU160" i="5"/>
  <c r="BX160" i="4"/>
  <c r="BY160" s="1"/>
  <c r="BU162" i="5"/>
  <c r="BX162" i="4"/>
  <c r="BY162" s="1"/>
  <c r="BU164" i="5"/>
  <c r="BX165" i="4"/>
  <c r="BY165" s="1"/>
  <c r="BU180" i="5"/>
  <c r="BX180" i="4"/>
  <c r="BY180" s="1"/>
  <c r="BU182" i="5"/>
  <c r="BX182" i="4"/>
  <c r="BY182" s="1"/>
  <c r="BU184" i="5"/>
  <c r="BX184" i="4"/>
  <c r="BY184" s="1"/>
  <c r="BU187" i="5"/>
  <c r="BX187" i="4"/>
  <c r="BY187" s="1"/>
  <c r="BU199" i="5"/>
  <c r="BX199" i="4"/>
  <c r="BY199" s="1"/>
  <c r="BU201" i="5"/>
  <c r="BX201" i="4"/>
  <c r="BY201" s="1"/>
  <c r="BU203" i="5"/>
  <c r="BX203" i="4"/>
  <c r="BY203" s="1"/>
  <c r="BU205" i="5"/>
  <c r="BX205" i="4"/>
  <c r="BY205" s="1"/>
  <c r="BU207" i="5"/>
  <c r="BX207" i="4"/>
  <c r="BY207" s="1"/>
  <c r="BU209" i="5"/>
  <c r="BX209" i="4"/>
  <c r="BY209" s="1"/>
  <c r="BU211" i="5"/>
  <c r="BX211" i="4"/>
  <c r="BY211" s="1"/>
  <c r="BU213" i="5"/>
  <c r="BX213" i="4"/>
  <c r="BY213" s="1"/>
  <c r="BU215" i="5"/>
  <c r="BX215" i="4"/>
  <c r="BY215" s="1"/>
  <c r="BU217" i="5"/>
  <c r="BX217" i="4"/>
  <c r="BY217" s="1"/>
  <c r="BU219" i="5"/>
  <c r="BX219" i="4"/>
  <c r="BY219" s="1"/>
  <c r="BU221" i="5"/>
  <c r="BX221" i="4"/>
  <c r="BY221" s="1"/>
  <c r="BU228" i="5"/>
  <c r="BX228" i="4"/>
  <c r="BY228" s="1"/>
  <c r="BU230" i="5"/>
  <c r="BX230" i="4"/>
  <c r="BY230" s="1"/>
  <c r="BU232" i="5"/>
  <c r="BX232" i="4"/>
  <c r="BY232" s="1"/>
  <c r="BU234" i="5"/>
  <c r="BX234" i="4"/>
  <c r="BY234" s="1"/>
  <c r="BU236" i="5"/>
  <c r="BX236" i="4"/>
  <c r="BY236" s="1"/>
  <c r="BU238" i="5"/>
  <c r="BX238" i="4"/>
  <c r="BY238" s="1"/>
  <c r="BU240" i="5"/>
  <c r="BX240" i="4"/>
  <c r="BY240" s="1"/>
  <c r="BU8" i="5"/>
  <c r="BX8" i="4"/>
  <c r="BY8" s="1"/>
  <c r="BU12" i="5"/>
  <c r="BX12" i="4"/>
  <c r="BY12" s="1"/>
  <c r="BU14" i="5"/>
  <c r="BX14" i="4"/>
  <c r="BY14" s="1"/>
  <c r="BU16" i="5"/>
  <c r="BX16" i="4"/>
  <c r="BY16" s="1"/>
  <c r="BU18" i="5"/>
  <c r="BX18" i="4"/>
  <c r="BY18" s="1"/>
  <c r="BU22" i="5"/>
  <c r="BX22" i="4"/>
  <c r="BY22" s="1"/>
  <c r="BU26" i="5"/>
  <c r="BX26" i="4"/>
  <c r="BY26" s="1"/>
  <c r="BU28" i="5"/>
  <c r="BX28" i="4"/>
  <c r="BY28" s="1"/>
  <c r="BU30" i="5"/>
  <c r="BX30" i="4"/>
  <c r="BY30" s="1"/>
  <c r="BU32" i="5"/>
  <c r="BX32" i="4"/>
  <c r="BY32" s="1"/>
  <c r="BU36" i="5"/>
  <c r="BX36" i="4"/>
  <c r="BY36" s="1"/>
  <c r="BU38" i="5"/>
  <c r="BX38" i="4"/>
  <c r="BY38" s="1"/>
  <c r="BU51" i="5"/>
  <c r="BX51" i="4"/>
  <c r="BY51" s="1"/>
  <c r="BU53" i="5"/>
  <c r="BX53" i="4"/>
  <c r="BY53" s="1"/>
  <c r="BU55" i="5"/>
  <c r="BX55" i="4"/>
  <c r="BY55" s="1"/>
  <c r="BU57" i="5"/>
  <c r="BX57" i="4"/>
  <c r="BY57" s="1"/>
  <c r="BU59" i="5"/>
  <c r="BX59" i="4"/>
  <c r="BY59" s="1"/>
  <c r="BU61" i="5"/>
  <c r="BX61" i="4"/>
  <c r="BY61" s="1"/>
  <c r="BU63" i="5"/>
  <c r="BX63" i="4"/>
  <c r="BY63" s="1"/>
  <c r="BU65" i="5"/>
  <c r="BX65" i="4"/>
  <c r="BY65" s="1"/>
  <c r="BU67" i="5"/>
  <c r="BX67" i="4"/>
  <c r="BY67" s="1"/>
  <c r="BU69" i="5"/>
  <c r="BX69" i="4"/>
  <c r="BY69" s="1"/>
  <c r="BU71" i="5"/>
  <c r="BX71" i="4"/>
  <c r="BY71" s="1"/>
  <c r="BU73" i="5"/>
  <c r="BX73" i="4"/>
  <c r="BY73" s="1"/>
  <c r="BU90" i="5"/>
  <c r="BX90" i="4"/>
  <c r="BY90" s="1"/>
  <c r="BU92" i="5"/>
  <c r="BX92" i="4"/>
  <c r="BY92" s="1"/>
  <c r="BU100" i="5"/>
  <c r="BX100" i="4"/>
  <c r="BY100" s="1"/>
  <c r="BU102" i="5"/>
  <c r="BX102" i="4"/>
  <c r="BY102" s="1"/>
  <c r="BU104" i="5"/>
  <c r="BX104" i="4"/>
  <c r="BY104" s="1"/>
  <c r="BU106" i="5"/>
  <c r="BX106" i="4"/>
  <c r="BY106" s="1"/>
  <c r="BU120" i="5"/>
  <c r="BX120" i="4"/>
  <c r="BY120" s="1"/>
  <c r="BU122" i="5"/>
  <c r="BX122" i="4"/>
  <c r="BY122" s="1"/>
  <c r="BU124" i="5"/>
  <c r="BX124" i="4"/>
  <c r="BY124" s="1"/>
  <c r="BU126" i="5"/>
  <c r="BX126" i="4"/>
  <c r="BY126" s="1"/>
  <c r="BU128" i="5"/>
  <c r="BX128" i="4"/>
  <c r="BY128" s="1"/>
  <c r="BU130" i="5"/>
  <c r="BX130" i="4"/>
  <c r="BY130" s="1"/>
  <c r="BU132" i="5"/>
  <c r="BX132" i="4"/>
  <c r="BY132" s="1"/>
  <c r="BU147" i="5"/>
  <c r="BX147" i="4"/>
  <c r="BY147" s="1"/>
  <c r="BU149" i="5"/>
  <c r="BX149" i="4"/>
  <c r="BY149" s="1"/>
  <c r="BU153" i="5"/>
  <c r="BX153" i="4"/>
  <c r="BY153" s="1"/>
  <c r="BU155" i="5"/>
  <c r="BX155" i="4"/>
  <c r="BY155" s="1"/>
  <c r="BU157" i="5"/>
  <c r="BX157" i="4"/>
  <c r="BY157" s="1"/>
  <c r="BU159" i="5"/>
  <c r="BX159" i="4"/>
  <c r="BY159" s="1"/>
  <c r="BU161" i="5"/>
  <c r="BX161" i="4"/>
  <c r="BY161" s="1"/>
  <c r="BU181" i="5"/>
  <c r="BX181" i="4"/>
  <c r="BY181" s="1"/>
  <c r="BU183" i="5"/>
  <c r="BX183" i="4"/>
  <c r="BY183" s="1"/>
  <c r="BU185" i="5"/>
  <c r="BX185" i="4"/>
  <c r="BY185" s="1"/>
  <c r="BU198" i="5"/>
  <c r="BX198" i="4"/>
  <c r="BY198" s="1"/>
  <c r="BU200" i="5"/>
  <c r="BX200" i="4"/>
  <c r="BY200" s="1"/>
  <c r="BU202" i="5"/>
  <c r="BX202" i="4"/>
  <c r="BY202" s="1"/>
  <c r="BU204" i="5"/>
  <c r="BX204" i="4"/>
  <c r="BY204" s="1"/>
  <c r="BU206" i="5"/>
  <c r="BX206" i="4"/>
  <c r="BY206" s="1"/>
  <c r="BU208" i="5"/>
  <c r="BX208" i="4"/>
  <c r="BY208" s="1"/>
  <c r="BU210" i="5"/>
  <c r="BX210" i="4"/>
  <c r="BY210" s="1"/>
  <c r="BU212" i="5"/>
  <c r="BX212" i="4"/>
  <c r="BY212" s="1"/>
  <c r="BU214" i="5"/>
  <c r="BX214" i="4"/>
  <c r="BY214" s="1"/>
  <c r="BU216" i="5"/>
  <c r="BX216" i="4"/>
  <c r="BY216" s="1"/>
  <c r="BU218" i="5"/>
  <c r="BX218" i="4"/>
  <c r="BY218" s="1"/>
  <c r="BU220" i="5"/>
  <c r="BX220" i="4"/>
  <c r="BY220" s="1"/>
  <c r="BM227"/>
  <c r="BQ227" s="1"/>
  <c r="BX227"/>
  <c r="BY227" s="1"/>
  <c r="BU229" i="5"/>
  <c r="BX229" i="4"/>
  <c r="BY229" s="1"/>
  <c r="BU231" i="5"/>
  <c r="BX231" i="4"/>
  <c r="BY231" s="1"/>
  <c r="BU233" i="5"/>
  <c r="BX233" i="4"/>
  <c r="BY233" s="1"/>
  <c r="BU235" i="5"/>
  <c r="BX235" i="4"/>
  <c r="BY235" s="1"/>
  <c r="BU237" i="5"/>
  <c r="BX237" i="4"/>
  <c r="BY237" s="1"/>
  <c r="BU239" i="5"/>
  <c r="BX239" i="4"/>
  <c r="BY239" s="1"/>
  <c r="BU241" i="5"/>
  <c r="BX241" i="4"/>
  <c r="BY241" s="1"/>
  <c r="BV215" i="5"/>
  <c r="BL222"/>
  <c r="BL8"/>
  <c r="AT8" i="4"/>
  <c r="BL9" i="5"/>
  <c r="AT9" i="4"/>
  <c r="BL10" i="5"/>
  <c r="BL13"/>
  <c r="AT13" i="4"/>
  <c r="BL14" i="5"/>
  <c r="AT14" i="4"/>
  <c r="BL15" i="5"/>
  <c r="AT15" i="4"/>
  <c r="BL16" i="5"/>
  <c r="AT16" i="4"/>
  <c r="BL17" i="5"/>
  <c r="AT17" i="4"/>
  <c r="BL18" i="5"/>
  <c r="AT18" i="4"/>
  <c r="BL19" i="5"/>
  <c r="BM19" i="4"/>
  <c r="BQ19" s="1"/>
  <c r="AT19"/>
  <c r="BL20" i="5"/>
  <c r="BM20" i="4"/>
  <c r="BQ20" s="1"/>
  <c r="AT20"/>
  <c r="BL21" i="5"/>
  <c r="AT21" i="4"/>
  <c r="BL22" i="5"/>
  <c r="AT22" i="4"/>
  <c r="BL23" i="5"/>
  <c r="AT23" i="4"/>
  <c r="BL24" i="5"/>
  <c r="AT24" i="4"/>
  <c r="BL25" i="5"/>
  <c r="AT25" i="4"/>
  <c r="BL26" i="5"/>
  <c r="AT26" i="4"/>
  <c r="BL27" i="5"/>
  <c r="AT27" i="4"/>
  <c r="BL28" i="5"/>
  <c r="AT28" i="4"/>
  <c r="BL29" i="5"/>
  <c r="AT29" i="4"/>
  <c r="BL30" i="5"/>
  <c r="AT30" i="4"/>
  <c r="BL31" i="5"/>
  <c r="AT31" i="4"/>
  <c r="BL32" i="5"/>
  <c r="AT32" i="4"/>
  <c r="BL33" i="5"/>
  <c r="AT33" i="4"/>
  <c r="BL34" i="5"/>
  <c r="AT34" i="4"/>
  <c r="BL35" i="5"/>
  <c r="AT35" i="4"/>
  <c r="BL36" i="5"/>
  <c r="AT36" i="4"/>
  <c r="BL37" i="5"/>
  <c r="AT37" i="4"/>
  <c r="BL38" i="5"/>
  <c r="AT38" i="4"/>
  <c r="BL51" i="5"/>
  <c r="AT51" i="4"/>
  <c r="BL52" i="5"/>
  <c r="AT52" i="4"/>
  <c r="BL53" i="5"/>
  <c r="AT53" i="4"/>
  <c r="BL54" i="5"/>
  <c r="AT54" i="4"/>
  <c r="BL55" i="5"/>
  <c r="AT55" i="4"/>
  <c r="BL56" i="5"/>
  <c r="AT56" i="4"/>
  <c r="BL57" i="5"/>
  <c r="AT57" i="4"/>
  <c r="BL58" i="5"/>
  <c r="AT58" i="4"/>
  <c r="BL59" i="5"/>
  <c r="AT59" i="4"/>
  <c r="BL60" i="5"/>
  <c r="AT60" i="4"/>
  <c r="BL61" i="5"/>
  <c r="AT61" i="4"/>
  <c r="BL62" i="5"/>
  <c r="AT62" i="4"/>
  <c r="BL63" i="5"/>
  <c r="AT63" i="4"/>
  <c r="BL64" i="5"/>
  <c r="AT64" i="4"/>
  <c r="BL65" i="5"/>
  <c r="AT65" i="4"/>
  <c r="BL66" i="5"/>
  <c r="AT66" i="4"/>
  <c r="BL67" i="5"/>
  <c r="AT67" i="4"/>
  <c r="BL68" i="5"/>
  <c r="AT68" i="4"/>
  <c r="BL69" i="5"/>
  <c r="AT69" i="4"/>
  <c r="BL70" i="5"/>
  <c r="AT70" i="4"/>
  <c r="BL71" i="5"/>
  <c r="AT71" i="4"/>
  <c r="BL72" i="5"/>
  <c r="AT72" i="4"/>
  <c r="BL73" i="5"/>
  <c r="AT73" i="4"/>
  <c r="BL85" i="5"/>
  <c r="AT85" i="4"/>
  <c r="BL86" i="5"/>
  <c r="AT86" i="4"/>
  <c r="BL87" i="5"/>
  <c r="AT87" i="4"/>
  <c r="BL88" i="5"/>
  <c r="AT88" i="4"/>
  <c r="BL89" i="5"/>
  <c r="AT89" i="4"/>
  <c r="BL90" i="5"/>
  <c r="AT90" i="4"/>
  <c r="BL91" i="5"/>
  <c r="BM91" s="1"/>
  <c r="AT91" i="4"/>
  <c r="BL92" i="5"/>
  <c r="AT92" i="4"/>
  <c r="BL93" i="5"/>
  <c r="AT93" i="4"/>
  <c r="BL94" i="5"/>
  <c r="AT94" i="4"/>
  <c r="BL95" i="5"/>
  <c r="AT95" i="4"/>
  <c r="BL96" i="5"/>
  <c r="AT96" i="4"/>
  <c r="BL97" i="5"/>
  <c r="AT97" i="4"/>
  <c r="BL98" i="5"/>
  <c r="AT98" i="4"/>
  <c r="BL99" i="5"/>
  <c r="AT99" i="4"/>
  <c r="BL100" i="5"/>
  <c r="AT100" i="4"/>
  <c r="BL101" i="5"/>
  <c r="AT101" i="4"/>
  <c r="AT102"/>
  <c r="BL102" i="5"/>
  <c r="AT7" i="4"/>
  <c r="AU7" s="1"/>
  <c r="BL104" i="5"/>
  <c r="BL108"/>
  <c r="AT108" i="4"/>
  <c r="BL120" i="5"/>
  <c r="AT120" i="4"/>
  <c r="BL121" i="5"/>
  <c r="AT121" i="4"/>
  <c r="BL122" i="5"/>
  <c r="AT122" i="4"/>
  <c r="BL123" i="5"/>
  <c r="AT123" i="4"/>
  <c r="BL124" i="5"/>
  <c r="AT124" i="4"/>
  <c r="BL125" i="5"/>
  <c r="AT125" i="4"/>
  <c r="BL126" i="5"/>
  <c r="AT126" i="4"/>
  <c r="BL127" i="5"/>
  <c r="AT127" i="4"/>
  <c r="BL128" i="5"/>
  <c r="BM128" s="1"/>
  <c r="AT128" i="4"/>
  <c r="BL129" i="5"/>
  <c r="AT129" i="4"/>
  <c r="BL130" i="5"/>
  <c r="AT130" i="4"/>
  <c r="BL131" i="5"/>
  <c r="AT131" i="4"/>
  <c r="BL132" i="5"/>
  <c r="AT132" i="4"/>
  <c r="BL146" i="5"/>
  <c r="AT146" i="4"/>
  <c r="BL147" i="5"/>
  <c r="AT147" i="4"/>
  <c r="BL148" i="5"/>
  <c r="AT148" i="4"/>
  <c r="BL149" i="5"/>
  <c r="AT149" i="4"/>
  <c r="BL150" i="5"/>
  <c r="AT150" i="4"/>
  <c r="BL151" i="5"/>
  <c r="AT151" i="4"/>
  <c r="BL152" i="5"/>
  <c r="AT152" i="4"/>
  <c r="BL153" i="5"/>
  <c r="AT153" i="4"/>
  <c r="BL154" i="5"/>
  <c r="AT154" i="4"/>
  <c r="BL155" i="5"/>
  <c r="AT155" i="4"/>
  <c r="BL156" i="5"/>
  <c r="AT156" i="4"/>
  <c r="BL157" i="5"/>
  <c r="AT157" i="4"/>
  <c r="BL158" i="5"/>
  <c r="AT158" i="4"/>
  <c r="BL159" i="5"/>
  <c r="AT159" i="4"/>
  <c r="BL160" i="5"/>
  <c r="AT160" i="4"/>
  <c r="BL161" i="5"/>
  <c r="AT161" i="4"/>
  <c r="BL162" i="5"/>
  <c r="AT162" i="4"/>
  <c r="BL163" i="5"/>
  <c r="AT163" i="4"/>
  <c r="BL164" i="5"/>
  <c r="AT165" i="4"/>
  <c r="BL179" i="5"/>
  <c r="AT179" i="4"/>
  <c r="BL180" i="5"/>
  <c r="AT180" i="4"/>
  <c r="BL183" i="5"/>
  <c r="AT183" i="4"/>
  <c r="BL184" i="5"/>
  <c r="AT184" i="4"/>
  <c r="BL185" i="5"/>
  <c r="AT185" i="4"/>
  <c r="BL187" i="5"/>
  <c r="AT187" i="4"/>
  <c r="BL40" i="5"/>
  <c r="AT40" i="4"/>
  <c r="AR41"/>
  <c r="AS41" s="1"/>
  <c r="AR109"/>
  <c r="AS109" s="1"/>
  <c r="AR133"/>
  <c r="AS133" s="1"/>
  <c r="AR166"/>
  <c r="AS166" s="1"/>
  <c r="BM85"/>
  <c r="BU85" i="5"/>
  <c r="BM86" i="4"/>
  <c r="BU86" i="5"/>
  <c r="BM88" i="4"/>
  <c r="BU88" i="5"/>
  <c r="BM89" i="4"/>
  <c r="BU89" i="5"/>
  <c r="BM94" i="4"/>
  <c r="BU94" i="5"/>
  <c r="BM95" i="4"/>
  <c r="BU95" i="5"/>
  <c r="BM96" i="4"/>
  <c r="BU96" i="5"/>
  <c r="BM97" i="4"/>
  <c r="BU97" i="5"/>
  <c r="BM98" i="4"/>
  <c r="BU98" i="5"/>
  <c r="AT198" i="4"/>
  <c r="AT199"/>
  <c r="AT200"/>
  <c r="AT201"/>
  <c r="AT202"/>
  <c r="AT203"/>
  <c r="AT204"/>
  <c r="AT205"/>
  <c r="AT206"/>
  <c r="AT207"/>
  <c r="AT208"/>
  <c r="AT209"/>
  <c r="AT210"/>
  <c r="AT211"/>
  <c r="AT212"/>
  <c r="AT213"/>
  <c r="AT214"/>
  <c r="AT215"/>
  <c r="AT216"/>
  <c r="AT217"/>
  <c r="AT218"/>
  <c r="AT219"/>
  <c r="AT220"/>
  <c r="AT221"/>
  <c r="BM73"/>
  <c r="BM87"/>
  <c r="BM90"/>
  <c r="BM91"/>
  <c r="BM92"/>
  <c r="BM93"/>
  <c r="BM99"/>
  <c r="BM100"/>
  <c r="BM101"/>
  <c r="BM104"/>
  <c r="BM108"/>
  <c r="BM120"/>
  <c r="BM121"/>
  <c r="BM122"/>
  <c r="BM123"/>
  <c r="BM124"/>
  <c r="BM125"/>
  <c r="BM126"/>
  <c r="BM127"/>
  <c r="BM128"/>
  <c r="BM129"/>
  <c r="BM130"/>
  <c r="BM131"/>
  <c r="BM132"/>
  <c r="BM146"/>
  <c r="BM147"/>
  <c r="BM148"/>
  <c r="BM149"/>
  <c r="BM150"/>
  <c r="BM153"/>
  <c r="BM154"/>
  <c r="BM157"/>
  <c r="BM158"/>
  <c r="BM162"/>
  <c r="BM163"/>
  <c r="BM165"/>
  <c r="BM179"/>
  <c r="BM180"/>
  <c r="BM183"/>
  <c r="BM184"/>
  <c r="BM185"/>
  <c r="BM187"/>
  <c r="BM198"/>
  <c r="BM199"/>
  <c r="BM200"/>
  <c r="BM201"/>
  <c r="BM202"/>
  <c r="BM203"/>
  <c r="BM204"/>
  <c r="BM205"/>
  <c r="BM206"/>
  <c r="BM207"/>
  <c r="BM208"/>
  <c r="BM209"/>
  <c r="BM210"/>
  <c r="BM211"/>
  <c r="BM212"/>
  <c r="BM213"/>
  <c r="BM214"/>
  <c r="BM215"/>
  <c r="BM216"/>
  <c r="BM217"/>
  <c r="BM218"/>
  <c r="BM219"/>
  <c r="BM220"/>
  <c r="BM221"/>
  <c r="BM228"/>
  <c r="BM229"/>
  <c r="BM230"/>
  <c r="BM231"/>
  <c r="BM232"/>
  <c r="BM233"/>
  <c r="BM234"/>
  <c r="BM235"/>
  <c r="BM236"/>
  <c r="BM237"/>
  <c r="BM238"/>
  <c r="BM239"/>
  <c r="BM240"/>
  <c r="BM241"/>
  <c r="BM8"/>
  <c r="BM10"/>
  <c r="BM14"/>
  <c r="BM16"/>
  <c r="BM18"/>
  <c r="BM22"/>
  <c r="BM24"/>
  <c r="BM26"/>
  <c r="BM28"/>
  <c r="BM30"/>
  <c r="BM32"/>
  <c r="BM34"/>
  <c r="BM36"/>
  <c r="BM38"/>
  <c r="BQ38" s="1"/>
  <c r="BM51"/>
  <c r="BM53"/>
  <c r="BM55"/>
  <c r="BM57"/>
  <c r="BM59"/>
  <c r="BM61"/>
  <c r="BM63"/>
  <c r="BM65"/>
  <c r="BM67"/>
  <c r="BM69"/>
  <c r="BM71"/>
  <c r="BM9"/>
  <c r="BM13"/>
  <c r="BM15"/>
  <c r="BM17"/>
  <c r="BM21"/>
  <c r="BM23"/>
  <c r="BM25"/>
  <c r="BM29"/>
  <c r="BM31"/>
  <c r="BM33"/>
  <c r="BM35"/>
  <c r="BM37"/>
  <c r="BM40"/>
  <c r="BM52"/>
  <c r="BM54"/>
  <c r="BM56"/>
  <c r="BM58"/>
  <c r="BM60"/>
  <c r="BM62"/>
  <c r="BM64"/>
  <c r="BM66"/>
  <c r="BM68"/>
  <c r="BM70"/>
  <c r="BM72"/>
  <c r="BM161"/>
  <c r="BM160"/>
  <c r="BM159"/>
  <c r="BM156"/>
  <c r="BM155"/>
  <c r="BM152"/>
  <c r="BM151"/>
  <c r="BU151" i="5"/>
  <c r="AT105" i="4"/>
  <c r="BM105"/>
  <c r="AT103"/>
  <c r="AT106"/>
  <c r="AT11"/>
  <c r="BM12"/>
  <c r="AT12"/>
  <c r="BM11"/>
  <c r="BM102"/>
  <c r="BM106"/>
  <c r="BF163"/>
  <c r="BG163" s="1"/>
  <c r="D150"/>
  <c r="AG106"/>
  <c r="AH106" s="1"/>
  <c r="AY202"/>
  <c r="AZ202" s="1"/>
  <c r="AY214"/>
  <c r="AF104"/>
  <c r="AF104" i="5" s="1"/>
  <c r="AF10" i="4"/>
  <c r="AT10" s="1"/>
  <c r="AD10"/>
  <c r="AA10"/>
  <c r="X10"/>
  <c r="X41" s="1"/>
  <c r="X41" i="5" s="1"/>
  <c r="U51" i="4"/>
  <c r="R51"/>
  <c r="R51" i="5" s="1"/>
  <c r="L68" i="4"/>
  <c r="P68" s="1"/>
  <c r="U18"/>
  <c r="R18"/>
  <c r="R18" i="5" s="1"/>
  <c r="O18" i="4"/>
  <c r="O18" i="5" s="1"/>
  <c r="L18" i="4"/>
  <c r="I18"/>
  <c r="F18"/>
  <c r="F17" i="5" s="1"/>
  <c r="M16" i="4"/>
  <c r="N16" s="1"/>
  <c r="I15"/>
  <c r="AY198"/>
  <c r="BE222"/>
  <c r="BP222" s="1"/>
  <c r="AX222"/>
  <c r="AH17" i="2" s="1"/>
  <c r="AH17" i="3" s="1"/>
  <c r="AF222" i="4"/>
  <c r="AE17" i="2" s="1"/>
  <c r="AE17" i="3" s="1"/>
  <c r="BE188" i="4"/>
  <c r="BP188" s="1"/>
  <c r="AX188"/>
  <c r="BO188" i="5" s="1"/>
  <c r="AF188" i="4"/>
  <c r="BL166"/>
  <c r="AX166"/>
  <c r="BO166" i="5" s="1"/>
  <c r="AF166" i="4"/>
  <c r="AE15" i="2" s="1"/>
  <c r="AE15" i="3" s="1"/>
  <c r="BE133" i="4"/>
  <c r="BP133" s="1"/>
  <c r="AX133"/>
  <c r="AF133"/>
  <c r="AE14" i="2" s="1"/>
  <c r="AE14" i="3" s="1"/>
  <c r="BE109" i="4"/>
  <c r="BP109" s="1"/>
  <c r="AX109"/>
  <c r="BO109" i="5" s="1"/>
  <c r="AX74" i="4"/>
  <c r="BE74"/>
  <c r="BP74" s="1"/>
  <c r="AF74"/>
  <c r="AE12" i="2" s="1"/>
  <c r="AE12" i="3" s="1"/>
  <c r="AX41" i="4"/>
  <c r="BE41"/>
  <c r="BP41" s="1"/>
  <c r="AA41"/>
  <c r="U41"/>
  <c r="U41" i="5" s="1"/>
  <c r="R41" i="4"/>
  <c r="O41"/>
  <c r="O41" i="5" s="1"/>
  <c r="L41" i="4"/>
  <c r="L41" i="5" s="1"/>
  <c r="B7"/>
  <c r="BP242"/>
  <c r="BQ242" s="1"/>
  <c r="BP241"/>
  <c r="BQ241" s="1"/>
  <c r="BP240"/>
  <c r="BQ240" s="1"/>
  <c r="BP239"/>
  <c r="BQ239" s="1"/>
  <c r="BP238"/>
  <c r="BQ238" s="1"/>
  <c r="BP237"/>
  <c r="BQ237" s="1"/>
  <c r="BP236"/>
  <c r="BQ236" s="1"/>
  <c r="BP235"/>
  <c r="BQ235" s="1"/>
  <c r="BP234"/>
  <c r="BQ234" s="1"/>
  <c r="BP233"/>
  <c r="BQ233" s="1"/>
  <c r="BP232"/>
  <c r="BQ232" s="1"/>
  <c r="BP231"/>
  <c r="BQ231" s="1"/>
  <c r="BP230"/>
  <c r="BQ230" s="1"/>
  <c r="BP229"/>
  <c r="BQ229" s="1"/>
  <c r="BP228"/>
  <c r="BQ228" s="1"/>
  <c r="BR242"/>
  <c r="BZ242" s="1"/>
  <c r="CA242" s="1"/>
  <c r="BR241"/>
  <c r="BZ241" s="1"/>
  <c r="CA241" s="1"/>
  <c r="BR240"/>
  <c r="BZ240" s="1"/>
  <c r="CA240" s="1"/>
  <c r="BR239"/>
  <c r="BZ239" s="1"/>
  <c r="CA239" s="1"/>
  <c r="BR238"/>
  <c r="BZ238" s="1"/>
  <c r="CA238" s="1"/>
  <c r="BR237"/>
  <c r="BZ237" s="1"/>
  <c r="CA237" s="1"/>
  <c r="BR236"/>
  <c r="BZ236" s="1"/>
  <c r="CA236" s="1"/>
  <c r="BR235"/>
  <c r="BZ235" s="1"/>
  <c r="CA235" s="1"/>
  <c r="BR234"/>
  <c r="BZ234" s="1"/>
  <c r="CA234" s="1"/>
  <c r="BR233"/>
  <c r="BZ233" s="1"/>
  <c r="CA233" s="1"/>
  <c r="BR232"/>
  <c r="BZ232" s="1"/>
  <c r="CA232" s="1"/>
  <c r="BR231"/>
  <c r="BZ231" s="1"/>
  <c r="CA231" s="1"/>
  <c r="BR230"/>
  <c r="BZ230" s="1"/>
  <c r="CA230" s="1"/>
  <c r="BR229"/>
  <c r="BZ229" s="1"/>
  <c r="CA229" s="1"/>
  <c r="BR228"/>
  <c r="BZ228" s="1"/>
  <c r="CA228" s="1"/>
  <c r="BR221"/>
  <c r="BZ221" s="1"/>
  <c r="CA221" s="1"/>
  <c r="BR220"/>
  <c r="BZ220" s="1"/>
  <c r="CA220" s="1"/>
  <c r="BR219"/>
  <c r="BZ219" s="1"/>
  <c r="CA219" s="1"/>
  <c r="BR218"/>
  <c r="BZ218" s="1"/>
  <c r="CA218" s="1"/>
  <c r="BR217"/>
  <c r="BZ217" s="1"/>
  <c r="CA217" s="1"/>
  <c r="BR215"/>
  <c r="BZ215" s="1"/>
  <c r="CA215" s="1"/>
  <c r="BR214"/>
  <c r="BZ214" s="1"/>
  <c r="CA214" s="1"/>
  <c r="BR213"/>
  <c r="BZ213" s="1"/>
  <c r="CA213" s="1"/>
  <c r="BR212"/>
  <c r="BZ212" s="1"/>
  <c r="CA212" s="1"/>
  <c r="BR211"/>
  <c r="BZ211" s="1"/>
  <c r="CA211" s="1"/>
  <c r="BR210"/>
  <c r="BZ210" s="1"/>
  <c r="CA210" s="1"/>
  <c r="BR209"/>
  <c r="BZ209" s="1"/>
  <c r="CA209" s="1"/>
  <c r="BR208"/>
  <c r="BZ208" s="1"/>
  <c r="CA208" s="1"/>
  <c r="BR207"/>
  <c r="BZ207" s="1"/>
  <c r="CA207" s="1"/>
  <c r="BR206"/>
  <c r="BZ206" s="1"/>
  <c r="CA206" s="1"/>
  <c r="BR205"/>
  <c r="BZ205" s="1"/>
  <c r="CA205" s="1"/>
  <c r="BR204"/>
  <c r="BZ204" s="1"/>
  <c r="CA204" s="1"/>
  <c r="BR203"/>
  <c r="BZ203" s="1"/>
  <c r="CA203" s="1"/>
  <c r="BR202"/>
  <c r="BZ202" s="1"/>
  <c r="CA202" s="1"/>
  <c r="BR201"/>
  <c r="BZ201" s="1"/>
  <c r="CA201" s="1"/>
  <c r="BR200"/>
  <c r="BZ200" s="1"/>
  <c r="CA200" s="1"/>
  <c r="BR199"/>
  <c r="BZ199" s="1"/>
  <c r="CA199" s="1"/>
  <c r="BR198"/>
  <c r="BZ198" s="1"/>
  <c r="CA198" s="1"/>
  <c r="BR187"/>
  <c r="BZ187" s="1"/>
  <c r="CA187" s="1"/>
  <c r="BR185"/>
  <c r="BZ185" s="1"/>
  <c r="CA185" s="1"/>
  <c r="BR184"/>
  <c r="BZ184" s="1"/>
  <c r="CA184" s="1"/>
  <c r="BR183"/>
  <c r="BZ183" s="1"/>
  <c r="CA183" s="1"/>
  <c r="BR182"/>
  <c r="BZ182" s="1"/>
  <c r="CA182" s="1"/>
  <c r="BR181"/>
  <c r="BZ181" s="1"/>
  <c r="CA181" s="1"/>
  <c r="BR180"/>
  <c r="BZ180" s="1"/>
  <c r="CA180" s="1"/>
  <c r="BR179"/>
  <c r="BZ179" s="1"/>
  <c r="CA179" s="1"/>
  <c r="BR164"/>
  <c r="BZ164" s="1"/>
  <c r="CA164" s="1"/>
  <c r="BR162"/>
  <c r="BZ162" s="1"/>
  <c r="CA162" s="1"/>
  <c r="BR161"/>
  <c r="BZ161" s="1"/>
  <c r="CA161" s="1"/>
  <c r="BR160"/>
  <c r="BZ160" s="1"/>
  <c r="CA160" s="1"/>
  <c r="BR159"/>
  <c r="BZ159" s="1"/>
  <c r="CA159" s="1"/>
  <c r="BR158"/>
  <c r="BZ158" s="1"/>
  <c r="CA158" s="1"/>
  <c r="BR157"/>
  <c r="BZ157" s="1"/>
  <c r="CA157" s="1"/>
  <c r="BR156"/>
  <c r="BZ156" s="1"/>
  <c r="CA156" s="1"/>
  <c r="BR155"/>
  <c r="BZ155" s="1"/>
  <c r="CA155" s="1"/>
  <c r="BR154"/>
  <c r="BZ154" s="1"/>
  <c r="CA154" s="1"/>
  <c r="BR153"/>
  <c r="BZ153" s="1"/>
  <c r="CA153" s="1"/>
  <c r="BR152"/>
  <c r="BZ152" s="1"/>
  <c r="CA152" s="1"/>
  <c r="BR151"/>
  <c r="BZ151" s="1"/>
  <c r="CA151" s="1"/>
  <c r="BR150"/>
  <c r="BZ150" s="1"/>
  <c r="CA150" s="1"/>
  <c r="BR149"/>
  <c r="BZ149" s="1"/>
  <c r="CA149" s="1"/>
  <c r="BR148"/>
  <c r="BZ148" s="1"/>
  <c r="CA148" s="1"/>
  <c r="BR147"/>
  <c r="BZ147" s="1"/>
  <c r="CA147" s="1"/>
  <c r="BR146"/>
  <c r="BZ146" s="1"/>
  <c r="CA146" s="1"/>
  <c r="BR132"/>
  <c r="BZ132" s="1"/>
  <c r="CA132" s="1"/>
  <c r="BR131"/>
  <c r="BZ131" s="1"/>
  <c r="CA131" s="1"/>
  <c r="BR130"/>
  <c r="BZ130" s="1"/>
  <c r="CA130" s="1"/>
  <c r="BR129"/>
  <c r="BZ129" s="1"/>
  <c r="CA129" s="1"/>
  <c r="BR128"/>
  <c r="BZ128" s="1"/>
  <c r="CA128" s="1"/>
  <c r="BR127"/>
  <c r="BZ127" s="1"/>
  <c r="CA127" s="1"/>
  <c r="BR126"/>
  <c r="BZ126" s="1"/>
  <c r="CA126" s="1"/>
  <c r="BR125"/>
  <c r="BZ125" s="1"/>
  <c r="CA125" s="1"/>
  <c r="BR124"/>
  <c r="BZ124" s="1"/>
  <c r="CA124" s="1"/>
  <c r="BR123"/>
  <c r="BZ123" s="1"/>
  <c r="CA123" s="1"/>
  <c r="BR122"/>
  <c r="BZ122" s="1"/>
  <c r="CA122" s="1"/>
  <c r="BR121"/>
  <c r="BZ121" s="1"/>
  <c r="CA121" s="1"/>
  <c r="BR120"/>
  <c r="BZ120" s="1"/>
  <c r="CA120" s="1"/>
  <c r="BR108"/>
  <c r="BZ108" s="1"/>
  <c r="CA108" s="1"/>
  <c r="BR106"/>
  <c r="BZ106" s="1"/>
  <c r="CA106" s="1"/>
  <c r="BR105"/>
  <c r="BZ105" s="1"/>
  <c r="CA105" s="1"/>
  <c r="BR104"/>
  <c r="BZ104" s="1"/>
  <c r="CA104" s="1"/>
  <c r="BR103"/>
  <c r="BZ103" s="1"/>
  <c r="CA103" s="1"/>
  <c r="BR102"/>
  <c r="BZ102" s="1"/>
  <c r="CA102" s="1"/>
  <c r="BR101"/>
  <c r="BZ101" s="1"/>
  <c r="CA101" s="1"/>
  <c r="BR100"/>
  <c r="BZ100" s="1"/>
  <c r="CA100" s="1"/>
  <c r="BR99"/>
  <c r="BZ99" s="1"/>
  <c r="CA99" s="1"/>
  <c r="BR98"/>
  <c r="BZ98" s="1"/>
  <c r="CA98" s="1"/>
  <c r="BR97"/>
  <c r="BZ97" s="1"/>
  <c r="CA97" s="1"/>
  <c r="BR96"/>
  <c r="BZ96" s="1"/>
  <c r="CA96" s="1"/>
  <c r="BR95"/>
  <c r="BZ95" s="1"/>
  <c r="CA95" s="1"/>
  <c r="BR94"/>
  <c r="BZ94" s="1"/>
  <c r="CA94" s="1"/>
  <c r="BR93"/>
  <c r="BZ93" s="1"/>
  <c r="CA93" s="1"/>
  <c r="BR92"/>
  <c r="BZ92" s="1"/>
  <c r="CA92" s="1"/>
  <c r="BR91"/>
  <c r="BZ91" s="1"/>
  <c r="CA91" s="1"/>
  <c r="BR90"/>
  <c r="BZ90" s="1"/>
  <c r="CA90" s="1"/>
  <c r="BR89"/>
  <c r="BZ89" s="1"/>
  <c r="CA89" s="1"/>
  <c r="BR88"/>
  <c r="BZ88" s="1"/>
  <c r="CA88" s="1"/>
  <c r="BR87"/>
  <c r="BZ87" s="1"/>
  <c r="CA87" s="1"/>
  <c r="BR86"/>
  <c r="BZ86" s="1"/>
  <c r="CA86" s="1"/>
  <c r="BR85"/>
  <c r="BZ85" s="1"/>
  <c r="CA85" s="1"/>
  <c r="BR73"/>
  <c r="BZ73" s="1"/>
  <c r="CA73" s="1"/>
  <c r="BR72"/>
  <c r="BZ72" s="1"/>
  <c r="CA72" s="1"/>
  <c r="BR71"/>
  <c r="BZ71" s="1"/>
  <c r="CA71" s="1"/>
  <c r="BR70"/>
  <c r="BZ70" s="1"/>
  <c r="CA70" s="1"/>
  <c r="BR69"/>
  <c r="BZ69" s="1"/>
  <c r="CA69" s="1"/>
  <c r="BR68"/>
  <c r="BZ68" s="1"/>
  <c r="CA68" s="1"/>
  <c r="BR67"/>
  <c r="BZ67" s="1"/>
  <c r="CA67" s="1"/>
  <c r="BR66"/>
  <c r="BZ66" s="1"/>
  <c r="CA66" s="1"/>
  <c r="BR65"/>
  <c r="BZ65" s="1"/>
  <c r="CA65" s="1"/>
  <c r="BR64"/>
  <c r="BZ64" s="1"/>
  <c r="CA64" s="1"/>
  <c r="BR63"/>
  <c r="BZ63" s="1"/>
  <c r="CA63" s="1"/>
  <c r="BR62"/>
  <c r="BZ62" s="1"/>
  <c r="CA62" s="1"/>
  <c r="BR61"/>
  <c r="BZ61" s="1"/>
  <c r="CA61" s="1"/>
  <c r="BR60"/>
  <c r="BZ60" s="1"/>
  <c r="CA60" s="1"/>
  <c r="BR59"/>
  <c r="BZ59" s="1"/>
  <c r="CA59" s="1"/>
  <c r="BR58"/>
  <c r="BZ58" s="1"/>
  <c r="CA58" s="1"/>
  <c r="BR57"/>
  <c r="BZ57" s="1"/>
  <c r="CA57" s="1"/>
  <c r="BR56"/>
  <c r="BZ56" s="1"/>
  <c r="CA56" s="1"/>
  <c r="BR55"/>
  <c r="BZ55" s="1"/>
  <c r="CA55" s="1"/>
  <c r="BR54"/>
  <c r="BZ54" s="1"/>
  <c r="CA54" s="1"/>
  <c r="BR53"/>
  <c r="BZ53" s="1"/>
  <c r="CA53" s="1"/>
  <c r="BR52"/>
  <c r="BZ52" s="1"/>
  <c r="CA52" s="1"/>
  <c r="BR51"/>
  <c r="BZ51" s="1"/>
  <c r="CA51" s="1"/>
  <c r="BR40"/>
  <c r="BZ40" s="1"/>
  <c r="CA40" s="1"/>
  <c r="BR38"/>
  <c r="BZ38" s="1"/>
  <c r="CA38" s="1"/>
  <c r="BR37"/>
  <c r="BZ37" s="1"/>
  <c r="CA37" s="1"/>
  <c r="BR36"/>
  <c r="BZ36" s="1"/>
  <c r="CA36" s="1"/>
  <c r="BR35"/>
  <c r="BZ35" s="1"/>
  <c r="CA35" s="1"/>
  <c r="BR34"/>
  <c r="BZ34" s="1"/>
  <c r="CA34" s="1"/>
  <c r="BR33"/>
  <c r="BZ33" s="1"/>
  <c r="CA33" s="1"/>
  <c r="BR32"/>
  <c r="BZ32" s="1"/>
  <c r="CA32" s="1"/>
  <c r="BR31"/>
  <c r="BZ31" s="1"/>
  <c r="CA31" s="1"/>
  <c r="BR30"/>
  <c r="BZ30" s="1"/>
  <c r="CA30" s="1"/>
  <c r="BR29"/>
  <c r="BZ29" s="1"/>
  <c r="CA29" s="1"/>
  <c r="BR28"/>
  <c r="BZ28" s="1"/>
  <c r="CA28" s="1"/>
  <c r="BR27"/>
  <c r="BZ27" s="1"/>
  <c r="CA27" s="1"/>
  <c r="BR26"/>
  <c r="BZ26" s="1"/>
  <c r="CA26" s="1"/>
  <c r="BR25"/>
  <c r="BZ25" s="1"/>
  <c r="CA25" s="1"/>
  <c r="BR24"/>
  <c r="BZ24" s="1"/>
  <c r="CA24" s="1"/>
  <c r="BR23"/>
  <c r="BZ23" s="1"/>
  <c r="CA23" s="1"/>
  <c r="BR22"/>
  <c r="BZ22" s="1"/>
  <c r="CA22" s="1"/>
  <c r="BR21"/>
  <c r="BZ21" s="1"/>
  <c r="CA21" s="1"/>
  <c r="BR20"/>
  <c r="BZ20" s="1"/>
  <c r="CA20" s="1"/>
  <c r="BR19"/>
  <c r="BZ19" s="1"/>
  <c r="CA19" s="1"/>
  <c r="BR18"/>
  <c r="BZ18" s="1"/>
  <c r="CA18" s="1"/>
  <c r="BR17"/>
  <c r="BZ17" s="1"/>
  <c r="CA17" s="1"/>
  <c r="BR16"/>
  <c r="BZ16" s="1"/>
  <c r="CA16" s="1"/>
  <c r="BR15"/>
  <c r="BZ15" s="1"/>
  <c r="CA15" s="1"/>
  <c r="BR14"/>
  <c r="BZ14" s="1"/>
  <c r="CA14" s="1"/>
  <c r="BR13"/>
  <c r="BZ13" s="1"/>
  <c r="CA13" s="1"/>
  <c r="BR12"/>
  <c r="BZ12" s="1"/>
  <c r="CA12" s="1"/>
  <c r="BR11"/>
  <c r="BZ11" s="1"/>
  <c r="CA11" s="1"/>
  <c r="BR10"/>
  <c r="BZ10" s="1"/>
  <c r="CA10" s="1"/>
  <c r="BR9"/>
  <c r="BZ9" s="1"/>
  <c r="CA9" s="1"/>
  <c r="BR8"/>
  <c r="BZ8" s="1"/>
  <c r="CA8" s="1"/>
  <c r="BO221"/>
  <c r="BP221" s="1"/>
  <c r="BQ221" s="1"/>
  <c r="BO220"/>
  <c r="BO219"/>
  <c r="BO218"/>
  <c r="BO217"/>
  <c r="BO216"/>
  <c r="BO215"/>
  <c r="BO214"/>
  <c r="BO213"/>
  <c r="BO212"/>
  <c r="BO211"/>
  <c r="BO210"/>
  <c r="BO209"/>
  <c r="BO208"/>
  <c r="BO207"/>
  <c r="BO206"/>
  <c r="BO205"/>
  <c r="BO204"/>
  <c r="BO203"/>
  <c r="BO202"/>
  <c r="BO201"/>
  <c r="BO200"/>
  <c r="BO199"/>
  <c r="BO198"/>
  <c r="BO187"/>
  <c r="BO185"/>
  <c r="BO184"/>
  <c r="BO183"/>
  <c r="BO182"/>
  <c r="BO181"/>
  <c r="BO180"/>
  <c r="BO179"/>
  <c r="BO164"/>
  <c r="BO163"/>
  <c r="BO162"/>
  <c r="BO161"/>
  <c r="BO160"/>
  <c r="BO159"/>
  <c r="BO158"/>
  <c r="BO157"/>
  <c r="BO156"/>
  <c r="BO155"/>
  <c r="BO154"/>
  <c r="BO153"/>
  <c r="BO152"/>
  <c r="BO151"/>
  <c r="BO150"/>
  <c r="BO149"/>
  <c r="BO148"/>
  <c r="BO147"/>
  <c r="BO146"/>
  <c r="BO132"/>
  <c r="BO131"/>
  <c r="BO130"/>
  <c r="BO129"/>
  <c r="BO128"/>
  <c r="BP128" s="1"/>
  <c r="BQ128" s="1"/>
  <c r="BO127"/>
  <c r="BO126"/>
  <c r="BO125"/>
  <c r="BO124"/>
  <c r="BO123"/>
  <c r="BO122"/>
  <c r="BO121"/>
  <c r="BO120"/>
  <c r="BO108"/>
  <c r="BO106"/>
  <c r="BO105"/>
  <c r="BO104"/>
  <c r="BO103"/>
  <c r="BO102"/>
  <c r="BO101"/>
  <c r="BO100"/>
  <c r="BO99"/>
  <c r="BO98"/>
  <c r="BO97"/>
  <c r="BO96"/>
  <c r="BO95"/>
  <c r="BO94"/>
  <c r="BO93"/>
  <c r="BO92"/>
  <c r="BO91"/>
  <c r="BP91" s="1"/>
  <c r="BQ91" s="1"/>
  <c r="BO90"/>
  <c r="BO89"/>
  <c r="BO88"/>
  <c r="BO87"/>
  <c r="BO86"/>
  <c r="BO85"/>
  <c r="BO73"/>
  <c r="BO72"/>
  <c r="BO71"/>
  <c r="BO70"/>
  <c r="BO69"/>
  <c r="BO68"/>
  <c r="BO67"/>
  <c r="BO66"/>
  <c r="BO65"/>
  <c r="BO64"/>
  <c r="BO63"/>
  <c r="BO62"/>
  <c r="BO61"/>
  <c r="BO60"/>
  <c r="BO59"/>
  <c r="BO58"/>
  <c r="BO57"/>
  <c r="BO56"/>
  <c r="BO55"/>
  <c r="BO54"/>
  <c r="BO53"/>
  <c r="BO52"/>
  <c r="BO51"/>
  <c r="BO40"/>
  <c r="BO38"/>
  <c r="BO37"/>
  <c r="BO36"/>
  <c r="BO35"/>
  <c r="BO34"/>
  <c r="BO33"/>
  <c r="BO32"/>
  <c r="BO31"/>
  <c r="BO30"/>
  <c r="BO29"/>
  <c r="BO28"/>
  <c r="BO27"/>
  <c r="BO26"/>
  <c r="BO25"/>
  <c r="BO24"/>
  <c r="BO23"/>
  <c r="BO22"/>
  <c r="BO21"/>
  <c r="BO20"/>
  <c r="BO19"/>
  <c r="BO18"/>
  <c r="BO17"/>
  <c r="BO16"/>
  <c r="BO15"/>
  <c r="BO14"/>
  <c r="BO13"/>
  <c r="BO12"/>
  <c r="BO11"/>
  <c r="BO10"/>
  <c r="BO9"/>
  <c r="BO8"/>
  <c r="BR7"/>
  <c r="BO7"/>
  <c r="AF220"/>
  <c r="BM220" s="1"/>
  <c r="AF219"/>
  <c r="BM219" s="1"/>
  <c r="AF218"/>
  <c r="BM218" s="1"/>
  <c r="AF217"/>
  <c r="BM217" s="1"/>
  <c r="AF216"/>
  <c r="BM216" s="1"/>
  <c r="AF215"/>
  <c r="BM215" s="1"/>
  <c r="AF214"/>
  <c r="BM214" s="1"/>
  <c r="AF213"/>
  <c r="BM213" s="1"/>
  <c r="AF212"/>
  <c r="BM212" s="1"/>
  <c r="AF211"/>
  <c r="BM211" s="1"/>
  <c r="AF210"/>
  <c r="BM210" s="1"/>
  <c r="AF209"/>
  <c r="BM209" s="1"/>
  <c r="AF208"/>
  <c r="BM208" s="1"/>
  <c r="AF207"/>
  <c r="BM207" s="1"/>
  <c r="AF206"/>
  <c r="BM206" s="1"/>
  <c r="AF205"/>
  <c r="BM205" s="1"/>
  <c r="AF204"/>
  <c r="BM204" s="1"/>
  <c r="AF203"/>
  <c r="BM203" s="1"/>
  <c r="AF202"/>
  <c r="BM202" s="1"/>
  <c r="AF201"/>
  <c r="BM201" s="1"/>
  <c r="AF200"/>
  <c r="BM200" s="1"/>
  <c r="AF199"/>
  <c r="BM199" s="1"/>
  <c r="AF198"/>
  <c r="BM198" s="1"/>
  <c r="AF187"/>
  <c r="AF185"/>
  <c r="AF184"/>
  <c r="AF183"/>
  <c r="AF182"/>
  <c r="AF181"/>
  <c r="AF180"/>
  <c r="AF179"/>
  <c r="AF164"/>
  <c r="AF163"/>
  <c r="AF162"/>
  <c r="AF161"/>
  <c r="AF160"/>
  <c r="AF159"/>
  <c r="AF158"/>
  <c r="AF157"/>
  <c r="AF156"/>
  <c r="AF155"/>
  <c r="AF154"/>
  <c r="AF153"/>
  <c r="AF152"/>
  <c r="AF151"/>
  <c r="AF150"/>
  <c r="AF149"/>
  <c r="AF148"/>
  <c r="AF147"/>
  <c r="AF146"/>
  <c r="AF132"/>
  <c r="AF131"/>
  <c r="AF130"/>
  <c r="AF129"/>
  <c r="AF127"/>
  <c r="AF126"/>
  <c r="AF125"/>
  <c r="AF124"/>
  <c r="AF123"/>
  <c r="AF122"/>
  <c r="AF121"/>
  <c r="AF120"/>
  <c r="AF106"/>
  <c r="AF108"/>
  <c r="AF105"/>
  <c r="AF103"/>
  <c r="AF102"/>
  <c r="AF101"/>
  <c r="AF100"/>
  <c r="AF99"/>
  <c r="AF98"/>
  <c r="AF97"/>
  <c r="AF96"/>
  <c r="AF95"/>
  <c r="AF94"/>
  <c r="AF93"/>
  <c r="AF92"/>
  <c r="AF90"/>
  <c r="AF89"/>
  <c r="AF88"/>
  <c r="AF87"/>
  <c r="AF86"/>
  <c r="AF85"/>
  <c r="AF74"/>
  <c r="AF73"/>
  <c r="AF72"/>
  <c r="AF71"/>
  <c r="AF70"/>
  <c r="AF69"/>
  <c r="AF68"/>
  <c r="AF67"/>
  <c r="AF66"/>
  <c r="AF65"/>
  <c r="AF64"/>
  <c r="AF63"/>
  <c r="AF62"/>
  <c r="AF61"/>
  <c r="AF60"/>
  <c r="AF59"/>
  <c r="AF58"/>
  <c r="AF57"/>
  <c r="AF56"/>
  <c r="AF55"/>
  <c r="AF54"/>
  <c r="AF53"/>
  <c r="AF52"/>
  <c r="AF51"/>
  <c r="AF40"/>
  <c r="AF38"/>
  <c r="AF37"/>
  <c r="AF36"/>
  <c r="AF35"/>
  <c r="AF34"/>
  <c r="AF33"/>
  <c r="AF32"/>
  <c r="AF31"/>
  <c r="AF30"/>
  <c r="AF29"/>
  <c r="AF28"/>
  <c r="AF27"/>
  <c r="AF26"/>
  <c r="AF25"/>
  <c r="AF24"/>
  <c r="AF23"/>
  <c r="AF22"/>
  <c r="AF21"/>
  <c r="AF20"/>
  <c r="AF19"/>
  <c r="AF18"/>
  <c r="AF17"/>
  <c r="AF16"/>
  <c r="AF15"/>
  <c r="AF14"/>
  <c r="AF13"/>
  <c r="AF12"/>
  <c r="AF11"/>
  <c r="AF10"/>
  <c r="AF9"/>
  <c r="AF8"/>
  <c r="AF7"/>
  <c r="AA221"/>
  <c r="AA220"/>
  <c r="AA219"/>
  <c r="AA218"/>
  <c r="AA217"/>
  <c r="AA216"/>
  <c r="AA215"/>
  <c r="AA214"/>
  <c r="AA213"/>
  <c r="AA212"/>
  <c r="AA211"/>
  <c r="AA210"/>
  <c r="AA209"/>
  <c r="AA208"/>
  <c r="AA207"/>
  <c r="AA206"/>
  <c r="AA205"/>
  <c r="AA204"/>
  <c r="AA203"/>
  <c r="AA202"/>
  <c r="AA201"/>
  <c r="AA200"/>
  <c r="AA199"/>
  <c r="AA198"/>
  <c r="AA187"/>
  <c r="AA185"/>
  <c r="AA184"/>
  <c r="AA183"/>
  <c r="AA182"/>
  <c r="AA181"/>
  <c r="AA180"/>
  <c r="AA179"/>
  <c r="AA164"/>
  <c r="AA163"/>
  <c r="AA162"/>
  <c r="AA161"/>
  <c r="AA160"/>
  <c r="AA159"/>
  <c r="AA158"/>
  <c r="AA157"/>
  <c r="AA156"/>
  <c r="AA155"/>
  <c r="AA154"/>
  <c r="AA153"/>
  <c r="AA152"/>
  <c r="AA151"/>
  <c r="AA150"/>
  <c r="AA149"/>
  <c r="AA148"/>
  <c r="AA147"/>
  <c r="AA146"/>
  <c r="AA132"/>
  <c r="AA131"/>
  <c r="AA130"/>
  <c r="AA129"/>
  <c r="AA127"/>
  <c r="AA126"/>
  <c r="AA125"/>
  <c r="AA124"/>
  <c r="AA123"/>
  <c r="AA122"/>
  <c r="AA121"/>
  <c r="AA120"/>
  <c r="AA108"/>
  <c r="AA106"/>
  <c r="AA105"/>
  <c r="AA104"/>
  <c r="AA103"/>
  <c r="AA102"/>
  <c r="AA101"/>
  <c r="AA100"/>
  <c r="AA99"/>
  <c r="AA98"/>
  <c r="AA97"/>
  <c r="AA96"/>
  <c r="AA95"/>
  <c r="AA94"/>
  <c r="AA93"/>
  <c r="AA92"/>
  <c r="AA90"/>
  <c r="AA89"/>
  <c r="AA88"/>
  <c r="AA87"/>
  <c r="AA86"/>
  <c r="AA85"/>
  <c r="AA73"/>
  <c r="AB73" s="1"/>
  <c r="AC73" s="1"/>
  <c r="AA72"/>
  <c r="AB72" s="1"/>
  <c r="AC72" s="1"/>
  <c r="AA71"/>
  <c r="AA70"/>
  <c r="AA69"/>
  <c r="AA68"/>
  <c r="AA67"/>
  <c r="AA66"/>
  <c r="AA65"/>
  <c r="AA64"/>
  <c r="AA63"/>
  <c r="AA62"/>
  <c r="AA61"/>
  <c r="AA60"/>
  <c r="AA59"/>
  <c r="AA58"/>
  <c r="AA57"/>
  <c r="AA55"/>
  <c r="AA54"/>
  <c r="AA53"/>
  <c r="AA52"/>
  <c r="AA41"/>
  <c r="AA34"/>
  <c r="AA33"/>
  <c r="AA32"/>
  <c r="AA31"/>
  <c r="AA30"/>
  <c r="AA29"/>
  <c r="AA28"/>
  <c r="AA27"/>
  <c r="AA26"/>
  <c r="AA25"/>
  <c r="AA24"/>
  <c r="AA23"/>
  <c r="AA22"/>
  <c r="AA21"/>
  <c r="AA20"/>
  <c r="AA19"/>
  <c r="AA18"/>
  <c r="AA17"/>
  <c r="AA16"/>
  <c r="AA15"/>
  <c r="AA14"/>
  <c r="AA13"/>
  <c r="AA12"/>
  <c r="AA11"/>
  <c r="AA10"/>
  <c r="AA9"/>
  <c r="AA8"/>
  <c r="AA7"/>
  <c r="X215"/>
  <c r="X214"/>
  <c r="X213"/>
  <c r="X212"/>
  <c r="X211"/>
  <c r="X210"/>
  <c r="X209"/>
  <c r="X208"/>
  <c r="X207"/>
  <c r="X206"/>
  <c r="X205"/>
  <c r="X204"/>
  <c r="X203"/>
  <c r="X202"/>
  <c r="X201"/>
  <c r="X200"/>
  <c r="X199"/>
  <c r="X198"/>
  <c r="X187"/>
  <c r="X185"/>
  <c r="X184"/>
  <c r="X183"/>
  <c r="X182"/>
  <c r="X181"/>
  <c r="X180"/>
  <c r="X179"/>
  <c r="X164"/>
  <c r="X163"/>
  <c r="X144" s="1"/>
  <c r="X162"/>
  <c r="X161"/>
  <c r="X160"/>
  <c r="X159"/>
  <c r="X158"/>
  <c r="X157"/>
  <c r="X156"/>
  <c r="X155"/>
  <c r="X154"/>
  <c r="X153"/>
  <c r="X152"/>
  <c r="X151"/>
  <c r="X150"/>
  <c r="X149"/>
  <c r="X148"/>
  <c r="X147"/>
  <c r="X146"/>
  <c r="X132"/>
  <c r="X131"/>
  <c r="X130"/>
  <c r="X129"/>
  <c r="X127"/>
  <c r="X126"/>
  <c r="X125"/>
  <c r="X124"/>
  <c r="X123"/>
  <c r="X122"/>
  <c r="X121"/>
  <c r="X120"/>
  <c r="X108"/>
  <c r="X106"/>
  <c r="X105"/>
  <c r="X104"/>
  <c r="X103"/>
  <c r="X102"/>
  <c r="X101"/>
  <c r="X100"/>
  <c r="X99"/>
  <c r="X98"/>
  <c r="X97"/>
  <c r="X96"/>
  <c r="X95"/>
  <c r="X94"/>
  <c r="X93"/>
  <c r="X92"/>
  <c r="X90"/>
  <c r="X89"/>
  <c r="X88"/>
  <c r="X87"/>
  <c r="X86"/>
  <c r="X85"/>
  <c r="X71"/>
  <c r="X70"/>
  <c r="X69"/>
  <c r="X68"/>
  <c r="X67"/>
  <c r="X66"/>
  <c r="X65"/>
  <c r="X64"/>
  <c r="X63"/>
  <c r="X62"/>
  <c r="X61"/>
  <c r="X60"/>
  <c r="X59"/>
  <c r="X58"/>
  <c r="X57"/>
  <c r="X55"/>
  <c r="X54"/>
  <c r="X53"/>
  <c r="X52"/>
  <c r="X38"/>
  <c r="X34"/>
  <c r="X33"/>
  <c r="X32"/>
  <c r="X31"/>
  <c r="X30"/>
  <c r="X29"/>
  <c r="X28"/>
  <c r="X27"/>
  <c r="X26"/>
  <c r="X25"/>
  <c r="X24"/>
  <c r="X23"/>
  <c r="X22"/>
  <c r="X21"/>
  <c r="X20"/>
  <c r="X19"/>
  <c r="X18"/>
  <c r="X17"/>
  <c r="X16"/>
  <c r="X15"/>
  <c r="X14"/>
  <c r="X13"/>
  <c r="X12"/>
  <c r="X11"/>
  <c r="X10"/>
  <c r="X9"/>
  <c r="X8"/>
  <c r="X7"/>
  <c r="U214"/>
  <c r="U213"/>
  <c r="U212"/>
  <c r="U211"/>
  <c r="U210"/>
  <c r="U209"/>
  <c r="U208"/>
  <c r="U207"/>
  <c r="U206"/>
  <c r="U205"/>
  <c r="U204"/>
  <c r="U203"/>
  <c r="U202"/>
  <c r="U201"/>
  <c r="U200"/>
  <c r="U199"/>
  <c r="U198"/>
  <c r="U187"/>
  <c r="U185"/>
  <c r="U184"/>
  <c r="U183"/>
  <c r="U182"/>
  <c r="U181"/>
  <c r="U180"/>
  <c r="U179"/>
  <c r="U164"/>
  <c r="U163"/>
  <c r="U162"/>
  <c r="U161"/>
  <c r="U160"/>
  <c r="U159"/>
  <c r="U158"/>
  <c r="U157"/>
  <c r="U156"/>
  <c r="U155"/>
  <c r="U154"/>
  <c r="U153"/>
  <c r="U152"/>
  <c r="U151"/>
  <c r="U150"/>
  <c r="U149"/>
  <c r="U148"/>
  <c r="U147"/>
  <c r="U146"/>
  <c r="U131"/>
  <c r="U130"/>
  <c r="U129"/>
  <c r="U128"/>
  <c r="U127"/>
  <c r="U126"/>
  <c r="U125"/>
  <c r="U124"/>
  <c r="U123"/>
  <c r="U122"/>
  <c r="U121"/>
  <c r="U120"/>
  <c r="U104"/>
  <c r="U103"/>
  <c r="U102"/>
  <c r="U101"/>
  <c r="U100"/>
  <c r="U99"/>
  <c r="U98"/>
  <c r="U97"/>
  <c r="U96"/>
  <c r="U95"/>
  <c r="U94"/>
  <c r="U93"/>
  <c r="U92"/>
  <c r="U90"/>
  <c r="U89"/>
  <c r="U88"/>
  <c r="U87"/>
  <c r="U86"/>
  <c r="U85"/>
  <c r="U71"/>
  <c r="U70"/>
  <c r="U69"/>
  <c r="U68"/>
  <c r="U67"/>
  <c r="U66"/>
  <c r="U65"/>
  <c r="U64"/>
  <c r="U63"/>
  <c r="U62"/>
  <c r="U61"/>
  <c r="U60"/>
  <c r="U59"/>
  <c r="U58"/>
  <c r="U57"/>
  <c r="U55"/>
  <c r="U54"/>
  <c r="U53"/>
  <c r="U52"/>
  <c r="U51"/>
  <c r="U34"/>
  <c r="U33"/>
  <c r="U32"/>
  <c r="U31"/>
  <c r="U30"/>
  <c r="U29"/>
  <c r="U28"/>
  <c r="U27"/>
  <c r="U26"/>
  <c r="U25"/>
  <c r="U24"/>
  <c r="U23"/>
  <c r="U22"/>
  <c r="U21"/>
  <c r="U20"/>
  <c r="U19"/>
  <c r="U18"/>
  <c r="U17"/>
  <c r="U16"/>
  <c r="U15"/>
  <c r="U14"/>
  <c r="U13"/>
  <c r="U10"/>
  <c r="U9"/>
  <c r="U8"/>
  <c r="U7"/>
  <c r="R214"/>
  <c r="R213"/>
  <c r="R212"/>
  <c r="R211"/>
  <c r="R210"/>
  <c r="R209"/>
  <c r="R208"/>
  <c r="R207"/>
  <c r="R206"/>
  <c r="R205"/>
  <c r="R204"/>
  <c r="R203"/>
  <c r="R202"/>
  <c r="R201"/>
  <c r="R200"/>
  <c r="R199"/>
  <c r="R198"/>
  <c r="R187"/>
  <c r="R185"/>
  <c r="R184"/>
  <c r="R183"/>
  <c r="R182"/>
  <c r="R181"/>
  <c r="R180"/>
  <c r="R179"/>
  <c r="R162"/>
  <c r="R161"/>
  <c r="R160"/>
  <c r="R159"/>
  <c r="R158"/>
  <c r="R157"/>
  <c r="R156"/>
  <c r="R155"/>
  <c r="R154"/>
  <c r="R153"/>
  <c r="R152"/>
  <c r="R151"/>
  <c r="R150"/>
  <c r="R149"/>
  <c r="R148"/>
  <c r="R147"/>
  <c r="R146"/>
  <c r="R127"/>
  <c r="R126"/>
  <c r="R125"/>
  <c r="R124"/>
  <c r="R123"/>
  <c r="R122"/>
  <c r="R121"/>
  <c r="R120"/>
  <c r="R104"/>
  <c r="R103"/>
  <c r="R102"/>
  <c r="R101"/>
  <c r="R100"/>
  <c r="R99"/>
  <c r="R98"/>
  <c r="R97"/>
  <c r="R96"/>
  <c r="R95"/>
  <c r="R94"/>
  <c r="R93"/>
  <c r="R92"/>
  <c r="R90"/>
  <c r="R89"/>
  <c r="R88"/>
  <c r="R87"/>
  <c r="R86"/>
  <c r="R85"/>
  <c r="R71"/>
  <c r="R70"/>
  <c r="R69"/>
  <c r="R68"/>
  <c r="R67"/>
  <c r="R66"/>
  <c r="R65"/>
  <c r="R64"/>
  <c r="R63"/>
  <c r="R62"/>
  <c r="R61"/>
  <c r="R60"/>
  <c r="R59"/>
  <c r="R58"/>
  <c r="R57"/>
  <c r="R56"/>
  <c r="R55"/>
  <c r="R54"/>
  <c r="R53"/>
  <c r="R52"/>
  <c r="R41"/>
  <c r="R34"/>
  <c r="R33"/>
  <c r="R32"/>
  <c r="R31"/>
  <c r="R30"/>
  <c r="R29"/>
  <c r="R28"/>
  <c r="R27"/>
  <c r="R26"/>
  <c r="R25"/>
  <c r="R24"/>
  <c r="R23"/>
  <c r="R22"/>
  <c r="R21"/>
  <c r="R20"/>
  <c r="R19"/>
  <c r="R17"/>
  <c r="R16"/>
  <c r="R15"/>
  <c r="R14"/>
  <c r="R13"/>
  <c r="R10"/>
  <c r="R9"/>
  <c r="R8"/>
  <c r="R7"/>
  <c r="O214"/>
  <c r="O213"/>
  <c r="O212"/>
  <c r="O211"/>
  <c r="O210"/>
  <c r="O209"/>
  <c r="O208"/>
  <c r="O207"/>
  <c r="O206"/>
  <c r="O205"/>
  <c r="O204"/>
  <c r="O203"/>
  <c r="O202"/>
  <c r="O201"/>
  <c r="O200"/>
  <c r="O199"/>
  <c r="O198"/>
  <c r="O187"/>
  <c r="O185"/>
  <c r="O184"/>
  <c r="O183"/>
  <c r="O182"/>
  <c r="O181"/>
  <c r="O180"/>
  <c r="O179"/>
  <c r="O162"/>
  <c r="O161"/>
  <c r="O160"/>
  <c r="O159"/>
  <c r="O158"/>
  <c r="O157"/>
  <c r="O156"/>
  <c r="O155"/>
  <c r="O154"/>
  <c r="O153"/>
  <c r="O152"/>
  <c r="O151"/>
  <c r="O150"/>
  <c r="O149"/>
  <c r="O148"/>
  <c r="O147"/>
  <c r="O146"/>
  <c r="O127"/>
  <c r="O126"/>
  <c r="O125"/>
  <c r="O124"/>
  <c r="O123"/>
  <c r="O122"/>
  <c r="O121"/>
  <c r="O120"/>
  <c r="O104"/>
  <c r="O103"/>
  <c r="O102"/>
  <c r="O101"/>
  <c r="O100"/>
  <c r="O99"/>
  <c r="O98"/>
  <c r="O97"/>
  <c r="O96"/>
  <c r="O95"/>
  <c r="O94"/>
  <c r="O93"/>
  <c r="O92"/>
  <c r="O91"/>
  <c r="O90"/>
  <c r="O89"/>
  <c r="O88"/>
  <c r="O87"/>
  <c r="O86"/>
  <c r="O85"/>
  <c r="O71"/>
  <c r="O70"/>
  <c r="O69"/>
  <c r="O68"/>
  <c r="O67"/>
  <c r="O66"/>
  <c r="O65"/>
  <c r="O64"/>
  <c r="O63"/>
  <c r="O62"/>
  <c r="O61"/>
  <c r="O60"/>
  <c r="O59"/>
  <c r="O58"/>
  <c r="O57"/>
  <c r="O56"/>
  <c r="O55"/>
  <c r="O54"/>
  <c r="O53"/>
  <c r="O52"/>
  <c r="O51"/>
  <c r="O34"/>
  <c r="O33"/>
  <c r="O32"/>
  <c r="O31"/>
  <c r="O30"/>
  <c r="O29"/>
  <c r="O28"/>
  <c r="O27"/>
  <c r="O26"/>
  <c r="O25"/>
  <c r="O24"/>
  <c r="O23"/>
  <c r="O22"/>
  <c r="O21"/>
  <c r="O20"/>
  <c r="O19"/>
  <c r="O17"/>
  <c r="O16"/>
  <c r="O15"/>
  <c r="O14"/>
  <c r="O13"/>
  <c r="O10"/>
  <c r="O9"/>
  <c r="O8"/>
  <c r="O7"/>
  <c r="L214"/>
  <c r="L213"/>
  <c r="L212"/>
  <c r="L211"/>
  <c r="L210"/>
  <c r="L209"/>
  <c r="L208"/>
  <c r="L207"/>
  <c r="L206"/>
  <c r="L205"/>
  <c r="L204"/>
  <c r="L203"/>
  <c r="L202"/>
  <c r="L201"/>
  <c r="L200"/>
  <c r="L199"/>
  <c r="L198"/>
  <c r="L187"/>
  <c r="L185"/>
  <c r="L184"/>
  <c r="L183"/>
  <c r="L182"/>
  <c r="L181"/>
  <c r="L180"/>
  <c r="L179"/>
  <c r="L164"/>
  <c r="L163"/>
  <c r="L162"/>
  <c r="L161"/>
  <c r="L160"/>
  <c r="L159"/>
  <c r="L158"/>
  <c r="L157"/>
  <c r="L156"/>
  <c r="L155"/>
  <c r="L154"/>
  <c r="L153"/>
  <c r="L152"/>
  <c r="L151"/>
  <c r="L150"/>
  <c r="L149"/>
  <c r="L148"/>
  <c r="L147"/>
  <c r="L146"/>
  <c r="L128"/>
  <c r="L127"/>
  <c r="L126"/>
  <c r="L125"/>
  <c r="L124"/>
  <c r="L123"/>
  <c r="L122"/>
  <c r="L121"/>
  <c r="L120"/>
  <c r="L104"/>
  <c r="L103"/>
  <c r="L102"/>
  <c r="L101"/>
  <c r="L100"/>
  <c r="L99"/>
  <c r="L98"/>
  <c r="L97"/>
  <c r="L96"/>
  <c r="L95"/>
  <c r="L94"/>
  <c r="L93"/>
  <c r="L92"/>
  <c r="L91"/>
  <c r="L90"/>
  <c r="L89"/>
  <c r="L88"/>
  <c r="L87"/>
  <c r="L86"/>
  <c r="L85"/>
  <c r="L71"/>
  <c r="L70"/>
  <c r="L69"/>
  <c r="L68"/>
  <c r="L67"/>
  <c r="L66"/>
  <c r="L65"/>
  <c r="L64"/>
  <c r="L63"/>
  <c r="L62"/>
  <c r="L61"/>
  <c r="L60"/>
  <c r="L59"/>
  <c r="L58"/>
  <c r="L57"/>
  <c r="L56"/>
  <c r="L55"/>
  <c r="L54"/>
  <c r="L53"/>
  <c r="L52"/>
  <c r="L51"/>
  <c r="L34"/>
  <c r="L33"/>
  <c r="L32"/>
  <c r="L31"/>
  <c r="L30"/>
  <c r="L29"/>
  <c r="L28"/>
  <c r="L27"/>
  <c r="L26"/>
  <c r="L25"/>
  <c r="L24"/>
  <c r="L23"/>
  <c r="L22"/>
  <c r="L21"/>
  <c r="L20"/>
  <c r="L19"/>
  <c r="L18"/>
  <c r="L17"/>
  <c r="L16"/>
  <c r="L15"/>
  <c r="L14"/>
  <c r="L13"/>
  <c r="L10"/>
  <c r="L9"/>
  <c r="L8"/>
  <c r="L7"/>
  <c r="I216"/>
  <c r="I215"/>
  <c r="I214"/>
  <c r="I210"/>
  <c r="I205"/>
  <c r="I204"/>
  <c r="I203"/>
  <c r="I202"/>
  <c r="I201"/>
  <c r="I200"/>
  <c r="I199"/>
  <c r="I198"/>
  <c r="I187"/>
  <c r="I185"/>
  <c r="I184"/>
  <c r="I182"/>
  <c r="I160"/>
  <c r="I159"/>
  <c r="I158"/>
  <c r="I156"/>
  <c r="I155"/>
  <c r="I154"/>
  <c r="I153"/>
  <c r="I152"/>
  <c r="I149"/>
  <c r="I125"/>
  <c r="I124"/>
  <c r="I122"/>
  <c r="I99"/>
  <c r="I98"/>
  <c r="I97"/>
  <c r="I96"/>
  <c r="I95"/>
  <c r="I94"/>
  <c r="I93"/>
  <c r="I92"/>
  <c r="I91"/>
  <c r="I89"/>
  <c r="I88"/>
  <c r="I87"/>
  <c r="I86"/>
  <c r="I69"/>
  <c r="I68"/>
  <c r="I67"/>
  <c r="I66"/>
  <c r="I64"/>
  <c r="I63"/>
  <c r="I60"/>
  <c r="I59"/>
  <c r="I57"/>
  <c r="I55"/>
  <c r="I54"/>
  <c r="I53"/>
  <c r="I52"/>
  <c r="I33"/>
  <c r="I31"/>
  <c r="I30"/>
  <c r="I29"/>
  <c r="I28"/>
  <c r="I27"/>
  <c r="I26"/>
  <c r="I24"/>
  <c r="I23"/>
  <c r="I17"/>
  <c r="I15"/>
  <c r="I14"/>
  <c r="I10"/>
  <c r="I9"/>
  <c r="I8"/>
  <c r="I7"/>
  <c r="F216"/>
  <c r="F215"/>
  <c r="F214"/>
  <c r="F210"/>
  <c r="F205"/>
  <c r="F204"/>
  <c r="F203"/>
  <c r="F202"/>
  <c r="F201"/>
  <c r="F200"/>
  <c r="F199"/>
  <c r="F198"/>
  <c r="F187"/>
  <c r="F185"/>
  <c r="F184"/>
  <c r="F182"/>
  <c r="F179"/>
  <c r="F160"/>
  <c r="F159"/>
  <c r="F158"/>
  <c r="F156"/>
  <c r="F155"/>
  <c r="F154"/>
  <c r="F153"/>
  <c r="F149"/>
  <c r="F125"/>
  <c r="F124"/>
  <c r="F122"/>
  <c r="F99"/>
  <c r="F98"/>
  <c r="F97"/>
  <c r="F95"/>
  <c r="F94"/>
  <c r="F93"/>
  <c r="F92"/>
  <c r="F91"/>
  <c r="F89"/>
  <c r="F87"/>
  <c r="F69"/>
  <c r="F68"/>
  <c r="F67"/>
  <c r="F66"/>
  <c r="F64"/>
  <c r="F63"/>
  <c r="F60"/>
  <c r="F59"/>
  <c r="F57"/>
  <c r="F55"/>
  <c r="F54"/>
  <c r="F53"/>
  <c r="F52"/>
  <c r="F33"/>
  <c r="F31"/>
  <c r="F30"/>
  <c r="F29"/>
  <c r="F28"/>
  <c r="F27"/>
  <c r="F26"/>
  <c r="F23"/>
  <c r="F15"/>
  <c r="F14"/>
  <c r="F10"/>
  <c r="F9"/>
  <c r="F8"/>
  <c r="F7"/>
  <c r="C215"/>
  <c r="C214"/>
  <c r="C210"/>
  <c r="C204"/>
  <c r="C203"/>
  <c r="C202"/>
  <c r="C201"/>
  <c r="C200"/>
  <c r="C199"/>
  <c r="C198"/>
  <c r="C187"/>
  <c r="C185"/>
  <c r="C184"/>
  <c r="C182"/>
  <c r="C179"/>
  <c r="C160"/>
  <c r="C159"/>
  <c r="C158"/>
  <c r="C157"/>
  <c r="C156"/>
  <c r="C155"/>
  <c r="C154"/>
  <c r="C153"/>
  <c r="C149"/>
  <c r="C125"/>
  <c r="C123"/>
  <c r="C122"/>
  <c r="C99"/>
  <c r="C98"/>
  <c r="C97"/>
  <c r="C95"/>
  <c r="C94"/>
  <c r="C93"/>
  <c r="C92"/>
  <c r="C91"/>
  <c r="C87"/>
  <c r="C69"/>
  <c r="C68"/>
  <c r="C67"/>
  <c r="C66"/>
  <c r="C64"/>
  <c r="C60"/>
  <c r="C59"/>
  <c r="C55"/>
  <c r="C54"/>
  <c r="C53"/>
  <c r="C52"/>
  <c r="C31"/>
  <c r="C30"/>
  <c r="C29"/>
  <c r="C28"/>
  <c r="C27"/>
  <c r="C26"/>
  <c r="C23"/>
  <c r="C15"/>
  <c r="C14"/>
  <c r="C10"/>
  <c r="C9"/>
  <c r="C8"/>
  <c r="C7"/>
  <c r="B215"/>
  <c r="B214"/>
  <c r="B210"/>
  <c r="B204"/>
  <c r="B203"/>
  <c r="B202"/>
  <c r="B201"/>
  <c r="B200"/>
  <c r="B199"/>
  <c r="B198"/>
  <c r="B187"/>
  <c r="B185"/>
  <c r="B184"/>
  <c r="B182"/>
  <c r="B179"/>
  <c r="B160"/>
  <c r="B159"/>
  <c r="B158"/>
  <c r="B157"/>
  <c r="B156"/>
  <c r="B155"/>
  <c r="B154"/>
  <c r="B153"/>
  <c r="B149"/>
  <c r="B128"/>
  <c r="B125"/>
  <c r="B123"/>
  <c r="B122"/>
  <c r="B99"/>
  <c r="B98"/>
  <c r="B97"/>
  <c r="B96"/>
  <c r="B95"/>
  <c r="B94"/>
  <c r="B93"/>
  <c r="B92"/>
  <c r="B91"/>
  <c r="B87"/>
  <c r="B69"/>
  <c r="B68"/>
  <c r="B67"/>
  <c r="B66"/>
  <c r="B64"/>
  <c r="B60"/>
  <c r="B59"/>
  <c r="B55"/>
  <c r="B54"/>
  <c r="B53"/>
  <c r="B52"/>
  <c r="B31"/>
  <c r="B30"/>
  <c r="B29"/>
  <c r="B28"/>
  <c r="B26"/>
  <c r="B21"/>
  <c r="B14"/>
  <c r="B10"/>
  <c r="B9"/>
  <c r="B8"/>
  <c r="BF241" i="4"/>
  <c r="BG241" s="1"/>
  <c r="BF240"/>
  <c r="BG240" s="1"/>
  <c r="BF239"/>
  <c r="BG239" s="1"/>
  <c r="BF238"/>
  <c r="BG238" s="1"/>
  <c r="BF237"/>
  <c r="BG237" s="1"/>
  <c r="BF236"/>
  <c r="BG236" s="1"/>
  <c r="BF235"/>
  <c r="BG235" s="1"/>
  <c r="BF234"/>
  <c r="BG234" s="1"/>
  <c r="BF233"/>
  <c r="BG233" s="1"/>
  <c r="BF232"/>
  <c r="BG232" s="1"/>
  <c r="BF231"/>
  <c r="BG231" s="1"/>
  <c r="BF230"/>
  <c r="BG230" s="1"/>
  <c r="BF229"/>
  <c r="BG229" s="1"/>
  <c r="BF228"/>
  <c r="BG228" s="1"/>
  <c r="BF227"/>
  <c r="BG227" s="1"/>
  <c r="BF221"/>
  <c r="BG221" s="1"/>
  <c r="BF220"/>
  <c r="BG220" s="1"/>
  <c r="BF219"/>
  <c r="BG219" s="1"/>
  <c r="BF218"/>
  <c r="BG218" s="1"/>
  <c r="BF217"/>
  <c r="BG217" s="1"/>
  <c r="BF216"/>
  <c r="BG216" s="1"/>
  <c r="BF215"/>
  <c r="BG215" s="1"/>
  <c r="BF214"/>
  <c r="BG214" s="1"/>
  <c r="BF213"/>
  <c r="BG213" s="1"/>
  <c r="BF212"/>
  <c r="BG212" s="1"/>
  <c r="BF211"/>
  <c r="BG211" s="1"/>
  <c r="BF210"/>
  <c r="BG210" s="1"/>
  <c r="BF209"/>
  <c r="BG209" s="1"/>
  <c r="BF208"/>
  <c r="BG208" s="1"/>
  <c r="BF207"/>
  <c r="BG207" s="1"/>
  <c r="BF206"/>
  <c r="BG206" s="1"/>
  <c r="BF205"/>
  <c r="BG205" s="1"/>
  <c r="BF204"/>
  <c r="BG204" s="1"/>
  <c r="BF203"/>
  <c r="BG203" s="1"/>
  <c r="BF202"/>
  <c r="BG202" s="1"/>
  <c r="BF201"/>
  <c r="BG201" s="1"/>
  <c r="BF200"/>
  <c r="BG200" s="1"/>
  <c r="BF199"/>
  <c r="BG199" s="1"/>
  <c r="BF198"/>
  <c r="BG198" s="1"/>
  <c r="BF187"/>
  <c r="BG187" s="1"/>
  <c r="BF185"/>
  <c r="BG185" s="1"/>
  <c r="BF184"/>
  <c r="BG184" s="1"/>
  <c r="BF183"/>
  <c r="BG183" s="1"/>
  <c r="BF182"/>
  <c r="BG182" s="1"/>
  <c r="BF181"/>
  <c r="BG181" s="1"/>
  <c r="BF180"/>
  <c r="BG180" s="1"/>
  <c r="BF179"/>
  <c r="BG179" s="1"/>
  <c r="BF165"/>
  <c r="BG165" s="1"/>
  <c r="BF162"/>
  <c r="BG162" s="1"/>
  <c r="BF161"/>
  <c r="BG161" s="1"/>
  <c r="BF160"/>
  <c r="BG160" s="1"/>
  <c r="BF159"/>
  <c r="BG159" s="1"/>
  <c r="BF158"/>
  <c r="BG158" s="1"/>
  <c r="BF157"/>
  <c r="BG157" s="1"/>
  <c r="BF156"/>
  <c r="BG156" s="1"/>
  <c r="BF155"/>
  <c r="BG155" s="1"/>
  <c r="BF154"/>
  <c r="BG154" s="1"/>
  <c r="BF153"/>
  <c r="BG153" s="1"/>
  <c r="BF152"/>
  <c r="BG152" s="1"/>
  <c r="BF151"/>
  <c r="BG151" s="1"/>
  <c r="BF150"/>
  <c r="BG150" s="1"/>
  <c r="BF149"/>
  <c r="BG149" s="1"/>
  <c r="BF148"/>
  <c r="BG148" s="1"/>
  <c r="BF147"/>
  <c r="BG147" s="1"/>
  <c r="BF146"/>
  <c r="BG146" s="1"/>
  <c r="BF132"/>
  <c r="BG132" s="1"/>
  <c r="BF131"/>
  <c r="BG131" s="1"/>
  <c r="BF130"/>
  <c r="BG130" s="1"/>
  <c r="BF129"/>
  <c r="BG129" s="1"/>
  <c r="BF128"/>
  <c r="BG128" s="1"/>
  <c r="BF127"/>
  <c r="BG127" s="1"/>
  <c r="BF126"/>
  <c r="BG126" s="1"/>
  <c r="BF125"/>
  <c r="BG125" s="1"/>
  <c r="BF124"/>
  <c r="BG124" s="1"/>
  <c r="BF123"/>
  <c r="BG123" s="1"/>
  <c r="BF122"/>
  <c r="BG122" s="1"/>
  <c r="BF121"/>
  <c r="BG121" s="1"/>
  <c r="BF120"/>
  <c r="BG120" s="1"/>
  <c r="BF108"/>
  <c r="BG108" s="1"/>
  <c r="BF106"/>
  <c r="BG106" s="1"/>
  <c r="BF105"/>
  <c r="BG105" s="1"/>
  <c r="BF104"/>
  <c r="BG104" s="1"/>
  <c r="BF103"/>
  <c r="BG103" s="1"/>
  <c r="BF102"/>
  <c r="BG102" s="1"/>
  <c r="BF101"/>
  <c r="BG101" s="1"/>
  <c r="BF100"/>
  <c r="BG100" s="1"/>
  <c r="BF99"/>
  <c r="BG99" s="1"/>
  <c r="BG98"/>
  <c r="BF97"/>
  <c r="BG97" s="1"/>
  <c r="BF96"/>
  <c r="BG96" s="1"/>
  <c r="BF95"/>
  <c r="BG95" s="1"/>
  <c r="BF94"/>
  <c r="BG94" s="1"/>
  <c r="BF93"/>
  <c r="BG93" s="1"/>
  <c r="BF92"/>
  <c r="BG92" s="1"/>
  <c r="BF91"/>
  <c r="BG91" s="1"/>
  <c r="BF90"/>
  <c r="BG90" s="1"/>
  <c r="BF89"/>
  <c r="BG89" s="1"/>
  <c r="BF88"/>
  <c r="BG88" s="1"/>
  <c r="BF87"/>
  <c r="BG87" s="1"/>
  <c r="BF86"/>
  <c r="BG86" s="1"/>
  <c r="BF85"/>
  <c r="BG85" s="1"/>
  <c r="BF73"/>
  <c r="BG73" s="1"/>
  <c r="BF72"/>
  <c r="BG72" s="1"/>
  <c r="BF71"/>
  <c r="BG71" s="1"/>
  <c r="BF70"/>
  <c r="BG70" s="1"/>
  <c r="BF69"/>
  <c r="BG69" s="1"/>
  <c r="BF68"/>
  <c r="BG68" s="1"/>
  <c r="BF67"/>
  <c r="BG67" s="1"/>
  <c r="BF66"/>
  <c r="BG66" s="1"/>
  <c r="BF65"/>
  <c r="BG65" s="1"/>
  <c r="BF64"/>
  <c r="BG64" s="1"/>
  <c r="BF63"/>
  <c r="BG63" s="1"/>
  <c r="BF62"/>
  <c r="BG62" s="1"/>
  <c r="BF61"/>
  <c r="BG61" s="1"/>
  <c r="BF60"/>
  <c r="BG60" s="1"/>
  <c r="BF59"/>
  <c r="BG59" s="1"/>
  <c r="BF58"/>
  <c r="BG58" s="1"/>
  <c r="BF57"/>
  <c r="BG57" s="1"/>
  <c r="BF56"/>
  <c r="BG56" s="1"/>
  <c r="BF55"/>
  <c r="BG55" s="1"/>
  <c r="BF54"/>
  <c r="BG54" s="1"/>
  <c r="BF53"/>
  <c r="BG53" s="1"/>
  <c r="BF52"/>
  <c r="BG52" s="1"/>
  <c r="BF51"/>
  <c r="BG51" s="1"/>
  <c r="BF40"/>
  <c r="BG40" s="1"/>
  <c r="BF38"/>
  <c r="BG38" s="1"/>
  <c r="BF37"/>
  <c r="BG37" s="1"/>
  <c r="BF36"/>
  <c r="BG36" s="1"/>
  <c r="BF35"/>
  <c r="BG35" s="1"/>
  <c r="BF34"/>
  <c r="BG34" s="1"/>
  <c r="BF33"/>
  <c r="BG33" s="1"/>
  <c r="BF32"/>
  <c r="BG32" s="1"/>
  <c r="BF31"/>
  <c r="BG31" s="1"/>
  <c r="BF30"/>
  <c r="BG30" s="1"/>
  <c r="BF29"/>
  <c r="BG29" s="1"/>
  <c r="BF28"/>
  <c r="BG28" s="1"/>
  <c r="BF27"/>
  <c r="BG27" s="1"/>
  <c r="BF26"/>
  <c r="BG26" s="1"/>
  <c r="BF25"/>
  <c r="BG25" s="1"/>
  <c r="BF24"/>
  <c r="BG24" s="1"/>
  <c r="BF23"/>
  <c r="BG23" s="1"/>
  <c r="BF22"/>
  <c r="BG22" s="1"/>
  <c r="BF21"/>
  <c r="BG21" s="1"/>
  <c r="BF20"/>
  <c r="BG20" s="1"/>
  <c r="BF19"/>
  <c r="BG19" s="1"/>
  <c r="BF18"/>
  <c r="BG18" s="1"/>
  <c r="BF17"/>
  <c r="BG17" s="1"/>
  <c r="BF16"/>
  <c r="BG16" s="1"/>
  <c r="BF15"/>
  <c r="BG15" s="1"/>
  <c r="BF14"/>
  <c r="BG14" s="1"/>
  <c r="BF13"/>
  <c r="BG13" s="1"/>
  <c r="BF10"/>
  <c r="BG10" s="1"/>
  <c r="BF9"/>
  <c r="BG9" s="1"/>
  <c r="BF8"/>
  <c r="BG8" s="1"/>
  <c r="BF7"/>
  <c r="BG7" s="1"/>
  <c r="AY121"/>
  <c r="AZ121" s="1"/>
  <c r="AY241"/>
  <c r="AZ241" s="1"/>
  <c r="AY240"/>
  <c r="AZ240" s="1"/>
  <c r="AY239"/>
  <c r="AZ239" s="1"/>
  <c r="AY238"/>
  <c r="AZ238" s="1"/>
  <c r="AY237"/>
  <c r="AZ237" s="1"/>
  <c r="AY236"/>
  <c r="AZ236" s="1"/>
  <c r="AY235"/>
  <c r="AZ235" s="1"/>
  <c r="AY234"/>
  <c r="AZ234" s="1"/>
  <c r="AY233"/>
  <c r="AZ233" s="1"/>
  <c r="AY232"/>
  <c r="AZ232" s="1"/>
  <c r="AY231"/>
  <c r="AZ231" s="1"/>
  <c r="AY230"/>
  <c r="AZ230" s="1"/>
  <c r="AY229"/>
  <c r="AZ229" s="1"/>
  <c r="AY228"/>
  <c r="AZ228" s="1"/>
  <c r="AY227"/>
  <c r="AZ227" s="1"/>
  <c r="AY221"/>
  <c r="AZ221" s="1"/>
  <c r="AY220"/>
  <c r="AZ220" s="1"/>
  <c r="AY219"/>
  <c r="AZ219" s="1"/>
  <c r="AY218"/>
  <c r="AZ218" s="1"/>
  <c r="AY217"/>
  <c r="AZ217" s="1"/>
  <c r="AY216"/>
  <c r="AZ216" s="1"/>
  <c r="AY215"/>
  <c r="AZ215" s="1"/>
  <c r="AZ214"/>
  <c r="AY213"/>
  <c r="AZ213" s="1"/>
  <c r="AY212"/>
  <c r="AZ212" s="1"/>
  <c r="AY211"/>
  <c r="AZ211" s="1"/>
  <c r="AY210"/>
  <c r="AZ210" s="1"/>
  <c r="AY209"/>
  <c r="AZ209" s="1"/>
  <c r="AY208"/>
  <c r="AZ208" s="1"/>
  <c r="AY207"/>
  <c r="AZ207" s="1"/>
  <c r="AY206"/>
  <c r="AZ206" s="1"/>
  <c r="AY205"/>
  <c r="AZ205" s="1"/>
  <c r="AY204"/>
  <c r="AZ204" s="1"/>
  <c r="AY203"/>
  <c r="AZ203" s="1"/>
  <c r="AY201"/>
  <c r="AZ201" s="1"/>
  <c r="AY200"/>
  <c r="AZ200" s="1"/>
  <c r="AY199"/>
  <c r="AZ199" s="1"/>
  <c r="AZ198"/>
  <c r="AY187"/>
  <c r="AZ187" s="1"/>
  <c r="AY185"/>
  <c r="AZ185" s="1"/>
  <c r="AY184"/>
  <c r="AZ184" s="1"/>
  <c r="AY183"/>
  <c r="AZ183" s="1"/>
  <c r="AY182"/>
  <c r="AZ182" s="1"/>
  <c r="AY181"/>
  <c r="AZ181" s="1"/>
  <c r="AY180"/>
  <c r="AZ180" s="1"/>
  <c r="AY179"/>
  <c r="AZ179" s="1"/>
  <c r="AY165"/>
  <c r="AZ165" s="1"/>
  <c r="AZ163"/>
  <c r="AY162"/>
  <c r="AZ162" s="1"/>
  <c r="AY161"/>
  <c r="AZ161" s="1"/>
  <c r="AY160"/>
  <c r="AZ160" s="1"/>
  <c r="AY159"/>
  <c r="AZ159" s="1"/>
  <c r="AY158"/>
  <c r="AZ158" s="1"/>
  <c r="AY157"/>
  <c r="AZ157" s="1"/>
  <c r="AY156"/>
  <c r="AZ156" s="1"/>
  <c r="AY155"/>
  <c r="AZ155" s="1"/>
  <c r="AY154"/>
  <c r="AZ154" s="1"/>
  <c r="AY153"/>
  <c r="AZ153" s="1"/>
  <c r="AY152"/>
  <c r="AZ152" s="1"/>
  <c r="AY151"/>
  <c r="AZ151" s="1"/>
  <c r="AY150"/>
  <c r="AZ150" s="1"/>
  <c r="AY149"/>
  <c r="AZ149" s="1"/>
  <c r="AY148"/>
  <c r="AZ148" s="1"/>
  <c r="AY147"/>
  <c r="AZ147" s="1"/>
  <c r="AY146"/>
  <c r="AZ146" s="1"/>
  <c r="AY132"/>
  <c r="AZ132" s="1"/>
  <c r="AY131"/>
  <c r="AZ131" s="1"/>
  <c r="AY130"/>
  <c r="AZ130" s="1"/>
  <c r="AY129"/>
  <c r="AZ129" s="1"/>
  <c r="AY128"/>
  <c r="AZ128" s="1"/>
  <c r="AY127"/>
  <c r="AZ127" s="1"/>
  <c r="AY126"/>
  <c r="AZ126" s="1"/>
  <c r="AY125"/>
  <c r="AZ125" s="1"/>
  <c r="AY124"/>
  <c r="AZ124" s="1"/>
  <c r="AY123"/>
  <c r="AZ123" s="1"/>
  <c r="AY122"/>
  <c r="AZ122" s="1"/>
  <c r="AY120"/>
  <c r="AZ120" s="1"/>
  <c r="AY108"/>
  <c r="AZ108" s="1"/>
  <c r="AZ106"/>
  <c r="AY105"/>
  <c r="AZ105" s="1"/>
  <c r="AY103"/>
  <c r="AZ103" s="1"/>
  <c r="AY102"/>
  <c r="AZ102" s="1"/>
  <c r="AY101"/>
  <c r="AZ101" s="1"/>
  <c r="AY100"/>
  <c r="AZ100" s="1"/>
  <c r="AY99"/>
  <c r="AZ99" s="1"/>
  <c r="AY98"/>
  <c r="AZ98" s="1"/>
  <c r="AY97"/>
  <c r="AZ97" s="1"/>
  <c r="AY96"/>
  <c r="AZ96" s="1"/>
  <c r="AY95"/>
  <c r="AZ95" s="1"/>
  <c r="AY94"/>
  <c r="AZ94" s="1"/>
  <c r="AY93"/>
  <c r="AZ93" s="1"/>
  <c r="AY92"/>
  <c r="AZ92" s="1"/>
  <c r="AY91"/>
  <c r="AZ91" s="1"/>
  <c r="AY90"/>
  <c r="AZ90" s="1"/>
  <c r="AY89"/>
  <c r="AZ89" s="1"/>
  <c r="AY88"/>
  <c r="AZ88" s="1"/>
  <c r="AY87"/>
  <c r="AZ87" s="1"/>
  <c r="AY86"/>
  <c r="AZ86" s="1"/>
  <c r="AY85"/>
  <c r="AZ85" s="1"/>
  <c r="AY73"/>
  <c r="AZ73" s="1"/>
  <c r="AY72"/>
  <c r="AZ72" s="1"/>
  <c r="AY71"/>
  <c r="AZ71" s="1"/>
  <c r="AY70"/>
  <c r="AZ70" s="1"/>
  <c r="AY69"/>
  <c r="AZ69" s="1"/>
  <c r="AY68"/>
  <c r="AZ68" s="1"/>
  <c r="AY67"/>
  <c r="AZ67" s="1"/>
  <c r="AY66"/>
  <c r="AZ66" s="1"/>
  <c r="AY65"/>
  <c r="AZ65" s="1"/>
  <c r="AY64"/>
  <c r="AZ64" s="1"/>
  <c r="AY63"/>
  <c r="AZ63" s="1"/>
  <c r="AY62"/>
  <c r="AZ62" s="1"/>
  <c r="AY61"/>
  <c r="AZ61" s="1"/>
  <c r="AY60"/>
  <c r="AZ60" s="1"/>
  <c r="AY59"/>
  <c r="AZ59" s="1"/>
  <c r="AY58"/>
  <c r="AZ58" s="1"/>
  <c r="AY57"/>
  <c r="AZ57" s="1"/>
  <c r="AY56"/>
  <c r="AZ56" s="1"/>
  <c r="AY55"/>
  <c r="AZ55" s="1"/>
  <c r="AY54"/>
  <c r="AZ54" s="1"/>
  <c r="AY53"/>
  <c r="AZ53" s="1"/>
  <c r="AY52"/>
  <c r="AZ52" s="1"/>
  <c r="AY51"/>
  <c r="AZ51" s="1"/>
  <c r="AY40"/>
  <c r="AZ40" s="1"/>
  <c r="AY38"/>
  <c r="AZ38" s="1"/>
  <c r="AY37"/>
  <c r="AZ37" s="1"/>
  <c r="AY36"/>
  <c r="AZ36" s="1"/>
  <c r="AY35"/>
  <c r="AZ35" s="1"/>
  <c r="AY34"/>
  <c r="AZ34" s="1"/>
  <c r="AY33"/>
  <c r="AZ33" s="1"/>
  <c r="AY32"/>
  <c r="AZ32" s="1"/>
  <c r="AY31"/>
  <c r="AZ31" s="1"/>
  <c r="AY30"/>
  <c r="AZ30" s="1"/>
  <c r="AY29"/>
  <c r="AZ29" s="1"/>
  <c r="AY28"/>
  <c r="AZ28" s="1"/>
  <c r="AY27"/>
  <c r="AZ27" s="1"/>
  <c r="AY26"/>
  <c r="AZ26" s="1"/>
  <c r="AY25"/>
  <c r="AZ25" s="1"/>
  <c r="AY24"/>
  <c r="AZ24" s="1"/>
  <c r="AY23"/>
  <c r="AZ23" s="1"/>
  <c r="AY22"/>
  <c r="AZ22" s="1"/>
  <c r="AY21"/>
  <c r="AZ21" s="1"/>
  <c r="AY20"/>
  <c r="AZ20" s="1"/>
  <c r="AY19"/>
  <c r="AZ19" s="1"/>
  <c r="AY18"/>
  <c r="AZ18" s="1"/>
  <c r="AY17"/>
  <c r="AZ17" s="1"/>
  <c r="AY16"/>
  <c r="AZ16" s="1"/>
  <c r="AY15"/>
  <c r="AZ15" s="1"/>
  <c r="AY14"/>
  <c r="AZ14" s="1"/>
  <c r="AY13"/>
  <c r="AZ13" s="1"/>
  <c r="AY10"/>
  <c r="AZ10" s="1"/>
  <c r="AY9"/>
  <c r="AZ9" s="1"/>
  <c r="AY8"/>
  <c r="AZ8" s="1"/>
  <c r="AY7"/>
  <c r="AZ7" s="1"/>
  <c r="AG7"/>
  <c r="BZ7" i="5" l="1"/>
  <c r="CA7" s="1"/>
  <c r="BU41"/>
  <c r="BM103" i="4"/>
  <c r="BL7" i="5"/>
  <c r="BV7" s="1"/>
  <c r="AH11" i="2"/>
  <c r="AH11" i="3" s="1"/>
  <c r="BL133" i="4"/>
  <c r="AK14" i="2"/>
  <c r="AP14" s="1"/>
  <c r="BR133" i="4"/>
  <c r="BL41"/>
  <c r="AK11" i="2"/>
  <c r="BR41" i="4"/>
  <c r="AK12" i="2"/>
  <c r="AP12" s="1"/>
  <c r="BR74" i="4"/>
  <c r="BL188"/>
  <c r="AK16" i="2"/>
  <c r="AP16" s="1"/>
  <c r="BR188" i="4"/>
  <c r="BR109" i="5"/>
  <c r="BZ109" s="1"/>
  <c r="CA109" s="1"/>
  <c r="AK13" i="2"/>
  <c r="AP13" s="1"/>
  <c r="BR109" i="4"/>
  <c r="BR222" i="5"/>
  <c r="BZ222" s="1"/>
  <c r="CA222" s="1"/>
  <c r="AK17" i="2"/>
  <c r="AP17" s="1"/>
  <c r="BR222" i="4"/>
  <c r="BS228" i="5"/>
  <c r="BT228" s="1"/>
  <c r="CC228"/>
  <c r="BS230"/>
  <c r="BT230" s="1"/>
  <c r="CC230"/>
  <c r="BS232"/>
  <c r="BT232" s="1"/>
  <c r="CC232"/>
  <c r="BS234"/>
  <c r="BT234" s="1"/>
  <c r="CC234"/>
  <c r="BS236"/>
  <c r="BT236" s="1"/>
  <c r="CC236"/>
  <c r="BS238"/>
  <c r="BT238" s="1"/>
  <c r="CC238"/>
  <c r="BS240"/>
  <c r="BT240" s="1"/>
  <c r="CC240"/>
  <c r="BS242"/>
  <c r="BT242" s="1"/>
  <c r="CC242"/>
  <c r="BR188"/>
  <c r="BZ188" s="1"/>
  <c r="CA188" s="1"/>
  <c r="BS229"/>
  <c r="BT229" s="1"/>
  <c r="CC229"/>
  <c r="BS231"/>
  <c r="BT231" s="1"/>
  <c r="CC231"/>
  <c r="BS233"/>
  <c r="BT233" s="1"/>
  <c r="CC233"/>
  <c r="BS235"/>
  <c r="BT235" s="1"/>
  <c r="CC235"/>
  <c r="BS237"/>
  <c r="BT237" s="1"/>
  <c r="CC237"/>
  <c r="BS239"/>
  <c r="BT239" s="1"/>
  <c r="CC239"/>
  <c r="BS241"/>
  <c r="BT241" s="1"/>
  <c r="CC241"/>
  <c r="BR133"/>
  <c r="BF222" i="4"/>
  <c r="BG222" s="1"/>
  <c r="AF166" i="5"/>
  <c r="BP166" s="1"/>
  <c r="BQ166" s="1"/>
  <c r="AF222"/>
  <c r="BM222" s="1"/>
  <c r="BN222" s="1"/>
  <c r="AF41" i="4"/>
  <c r="AE11" i="2" s="1"/>
  <c r="AE11" i="3" s="1"/>
  <c r="BV11" i="5"/>
  <c r="BM12"/>
  <c r="BN12" s="1"/>
  <c r="BM105"/>
  <c r="BN105" s="1"/>
  <c r="BM106"/>
  <c r="BN106" s="1"/>
  <c r="BV103"/>
  <c r="AY133" i="4"/>
  <c r="AZ133" s="1"/>
  <c r="AY166"/>
  <c r="AZ166" s="1"/>
  <c r="BM11" i="5"/>
  <c r="BM103"/>
  <c r="BN103" s="1"/>
  <c r="AF133"/>
  <c r="BO222"/>
  <c r="BP222" s="1"/>
  <c r="BQ222" s="1"/>
  <c r="BU188"/>
  <c r="BV211"/>
  <c r="BV221"/>
  <c r="BV203"/>
  <c r="BV208"/>
  <c r="AH14" i="2"/>
  <c r="BV216" i="5"/>
  <c r="BV200"/>
  <c r="BV220"/>
  <c r="BV212"/>
  <c r="BV204"/>
  <c r="BV198"/>
  <c r="BU74"/>
  <c r="BV217"/>
  <c r="BV207"/>
  <c r="BV199"/>
  <c r="BV151"/>
  <c r="BV102"/>
  <c r="BV8"/>
  <c r="BV218"/>
  <c r="BV214"/>
  <c r="BV210"/>
  <c r="BV206"/>
  <c r="BV202"/>
  <c r="BV12"/>
  <c r="BU222"/>
  <c r="BU133"/>
  <c r="BV106"/>
  <c r="BV219"/>
  <c r="BV213"/>
  <c r="BV209"/>
  <c r="BV205"/>
  <c r="BV201"/>
  <c r="BV105"/>
  <c r="BX166" i="4"/>
  <c r="BY166" s="1"/>
  <c r="AF109"/>
  <c r="AE13" i="2" s="1"/>
  <c r="AE13" i="3" s="1"/>
  <c r="BX41" i="4"/>
  <c r="BY41" s="1"/>
  <c r="BX133"/>
  <c r="BY133" s="1"/>
  <c r="BX188"/>
  <c r="BY188" s="1"/>
  <c r="BF109"/>
  <c r="BG109" s="1"/>
  <c r="BF188"/>
  <c r="BG188" s="1"/>
  <c r="M68"/>
  <c r="N68" s="1"/>
  <c r="AT104"/>
  <c r="AU104" s="1"/>
  <c r="AY104"/>
  <c r="AZ104" s="1"/>
  <c r="AY222"/>
  <c r="AZ222" s="1"/>
  <c r="BF133"/>
  <c r="BG133" s="1"/>
  <c r="BO133" i="5"/>
  <c r="AH15" i="2"/>
  <c r="AH15" i="3" s="1"/>
  <c r="AI15" s="1"/>
  <c r="AJ15" s="1"/>
  <c r="BV98" i="5"/>
  <c r="BV97"/>
  <c r="BV89"/>
  <c r="BV88"/>
  <c r="BV86"/>
  <c r="BF166" i="4"/>
  <c r="BG166" s="1"/>
  <c r="BL222"/>
  <c r="BM222" s="1"/>
  <c r="BE242"/>
  <c r="BP242" s="1"/>
  <c r="BV96" i="5"/>
  <c r="BV95"/>
  <c r="BV94"/>
  <c r="BO41"/>
  <c r="BM179"/>
  <c r="BN179" s="1"/>
  <c r="BL166"/>
  <c r="BM146"/>
  <c r="BN146" s="1"/>
  <c r="BL133"/>
  <c r="BM120"/>
  <c r="BN120" s="1"/>
  <c r="BL41"/>
  <c r="BV41" s="1"/>
  <c r="BM7"/>
  <c r="BN7" s="1"/>
  <c r="BL109"/>
  <c r="BM85"/>
  <c r="BN85" s="1"/>
  <c r="BM51"/>
  <c r="BN51" s="1"/>
  <c r="BL74"/>
  <c r="BM19"/>
  <c r="BN19" s="1"/>
  <c r="BV19"/>
  <c r="V41"/>
  <c r="AB41"/>
  <c r="AC41" s="1"/>
  <c r="BM40"/>
  <c r="BN40" s="1"/>
  <c r="BM187"/>
  <c r="BN187" s="1"/>
  <c r="BM185"/>
  <c r="BN185" s="1"/>
  <c r="BM184"/>
  <c r="BN184" s="1"/>
  <c r="BM183"/>
  <c r="BN183" s="1"/>
  <c r="BM180"/>
  <c r="BN180" s="1"/>
  <c r="BM164"/>
  <c r="BN164" s="1"/>
  <c r="BM163"/>
  <c r="BN163" s="1"/>
  <c r="BM162"/>
  <c r="BN162" s="1"/>
  <c r="BM161"/>
  <c r="BN161" s="1"/>
  <c r="BM160"/>
  <c r="BN160" s="1"/>
  <c r="BM159"/>
  <c r="BN159" s="1"/>
  <c r="BM158"/>
  <c r="BN158" s="1"/>
  <c r="BM157"/>
  <c r="BN157" s="1"/>
  <c r="BM156"/>
  <c r="BN156" s="1"/>
  <c r="BM155"/>
  <c r="BN155" s="1"/>
  <c r="BM154"/>
  <c r="BN154" s="1"/>
  <c r="BM153"/>
  <c r="BN153" s="1"/>
  <c r="BM152"/>
  <c r="BN152" s="1"/>
  <c r="BM151"/>
  <c r="BN151" s="1"/>
  <c r="BM150"/>
  <c r="BN150" s="1"/>
  <c r="BM149"/>
  <c r="BN149" s="1"/>
  <c r="BM148"/>
  <c r="BN148" s="1"/>
  <c r="BM147"/>
  <c r="BN147" s="1"/>
  <c r="BM132"/>
  <c r="BN132" s="1"/>
  <c r="BM131"/>
  <c r="BN131" s="1"/>
  <c r="BM130"/>
  <c r="BN130" s="1"/>
  <c r="BM129"/>
  <c r="BN129" s="1"/>
  <c r="BM127"/>
  <c r="BN127" s="1"/>
  <c r="BM126"/>
  <c r="BN126" s="1"/>
  <c r="BM125"/>
  <c r="BN125" s="1"/>
  <c r="BM124"/>
  <c r="BN124" s="1"/>
  <c r="BM123"/>
  <c r="BN123" s="1"/>
  <c r="BM122"/>
  <c r="BN122" s="1"/>
  <c r="BM121"/>
  <c r="BN121" s="1"/>
  <c r="BM108"/>
  <c r="BN108" s="1"/>
  <c r="BM104"/>
  <c r="BN104" s="1"/>
  <c r="BM101"/>
  <c r="BN101" s="1"/>
  <c r="BM100"/>
  <c r="BN100" s="1"/>
  <c r="BM99"/>
  <c r="BN99" s="1"/>
  <c r="BM98"/>
  <c r="BN98" s="1"/>
  <c r="BM97"/>
  <c r="BN97" s="1"/>
  <c r="BM96"/>
  <c r="BN96" s="1"/>
  <c r="BM95"/>
  <c r="BN95" s="1"/>
  <c r="BM94"/>
  <c r="BN94" s="1"/>
  <c r="BM93"/>
  <c r="BN93" s="1"/>
  <c r="BM92"/>
  <c r="BN92" s="1"/>
  <c r="BM90"/>
  <c r="BN90" s="1"/>
  <c r="BM89"/>
  <c r="BN89" s="1"/>
  <c r="BM88"/>
  <c r="BN88" s="1"/>
  <c r="BM87"/>
  <c r="BN87" s="1"/>
  <c r="BM86"/>
  <c r="BN86" s="1"/>
  <c r="BM73"/>
  <c r="BN73" s="1"/>
  <c r="BM72"/>
  <c r="BN72" s="1"/>
  <c r="BM71"/>
  <c r="BN71" s="1"/>
  <c r="BM70"/>
  <c r="BN70" s="1"/>
  <c r="BM69"/>
  <c r="BN69" s="1"/>
  <c r="BM68"/>
  <c r="BN68" s="1"/>
  <c r="BM67"/>
  <c r="BN67" s="1"/>
  <c r="BM66"/>
  <c r="BN66" s="1"/>
  <c r="BM65"/>
  <c r="BN65" s="1"/>
  <c r="BM64"/>
  <c r="BN64" s="1"/>
  <c r="BM63"/>
  <c r="BN63" s="1"/>
  <c r="BM62"/>
  <c r="BN62" s="1"/>
  <c r="BM61"/>
  <c r="BN61" s="1"/>
  <c r="BM60"/>
  <c r="BN60" s="1"/>
  <c r="BM59"/>
  <c r="BN59" s="1"/>
  <c r="BM58"/>
  <c r="BN58" s="1"/>
  <c r="BM57"/>
  <c r="BN57" s="1"/>
  <c r="BM56"/>
  <c r="BN56" s="1"/>
  <c r="BM55"/>
  <c r="BN55" s="1"/>
  <c r="BM54"/>
  <c r="BN54" s="1"/>
  <c r="BM53"/>
  <c r="BN53" s="1"/>
  <c r="BM52"/>
  <c r="BN52" s="1"/>
  <c r="BM38"/>
  <c r="BN38" s="1"/>
  <c r="BM37"/>
  <c r="BN37" s="1"/>
  <c r="BM36"/>
  <c r="BN36" s="1"/>
  <c r="BM35"/>
  <c r="BN35" s="1"/>
  <c r="BM34"/>
  <c r="BN34" s="1"/>
  <c r="BM33"/>
  <c r="BN33" s="1"/>
  <c r="BM32"/>
  <c r="BN32" s="1"/>
  <c r="BM31"/>
  <c r="BN31" s="1"/>
  <c r="BM30"/>
  <c r="BN30" s="1"/>
  <c r="BM29"/>
  <c r="BN29" s="1"/>
  <c r="BM28"/>
  <c r="BN28" s="1"/>
  <c r="BM27"/>
  <c r="BN27" s="1"/>
  <c r="BM26"/>
  <c r="BN26" s="1"/>
  <c r="BM25"/>
  <c r="BN25" s="1"/>
  <c r="BM24"/>
  <c r="BN24" s="1"/>
  <c r="BM23"/>
  <c r="BN23" s="1"/>
  <c r="BM22"/>
  <c r="BN22" s="1"/>
  <c r="BM21"/>
  <c r="BN21" s="1"/>
  <c r="BM18"/>
  <c r="BN18" s="1"/>
  <c r="BM17"/>
  <c r="BN17" s="1"/>
  <c r="BM16"/>
  <c r="BN16" s="1"/>
  <c r="BM15"/>
  <c r="BN15" s="1"/>
  <c r="BM14"/>
  <c r="BN14" s="1"/>
  <c r="BM13"/>
  <c r="BN13" s="1"/>
  <c r="BM10"/>
  <c r="BN10" s="1"/>
  <c r="BM9"/>
  <c r="BN9" s="1"/>
  <c r="BM8"/>
  <c r="BN8" s="1"/>
  <c r="BV185"/>
  <c r="BV161"/>
  <c r="BV157"/>
  <c r="BV153"/>
  <c r="BV147"/>
  <c r="BV130"/>
  <c r="BV126"/>
  <c r="BV122"/>
  <c r="BV92"/>
  <c r="BV73"/>
  <c r="BV69"/>
  <c r="BV65"/>
  <c r="BV61"/>
  <c r="BV57"/>
  <c r="BV53"/>
  <c r="BV36"/>
  <c r="BV32"/>
  <c r="BV28"/>
  <c r="BV24"/>
  <c r="BV18"/>
  <c r="BV14"/>
  <c r="BV10"/>
  <c r="BV179"/>
  <c r="BV51"/>
  <c r="BV187"/>
  <c r="BV164"/>
  <c r="BV160"/>
  <c r="BV156"/>
  <c r="BV152"/>
  <c r="BV148"/>
  <c r="BV129"/>
  <c r="BV125"/>
  <c r="BV121"/>
  <c r="BV101"/>
  <c r="BV93"/>
  <c r="BV87"/>
  <c r="BV70"/>
  <c r="BV66"/>
  <c r="BV62"/>
  <c r="BV58"/>
  <c r="BV54"/>
  <c r="BV40"/>
  <c r="BV35"/>
  <c r="BV31"/>
  <c r="BV27"/>
  <c r="BV23"/>
  <c r="BV17"/>
  <c r="BV13"/>
  <c r="BV9"/>
  <c r="BV146"/>
  <c r="BU109"/>
  <c r="BV85"/>
  <c r="BM20"/>
  <c r="BN20" s="1"/>
  <c r="BV20"/>
  <c r="Y41"/>
  <c r="BM102"/>
  <c r="BN102" s="1"/>
  <c r="BV183"/>
  <c r="BV163"/>
  <c r="BV159"/>
  <c r="BV155"/>
  <c r="BV149"/>
  <c r="BV132"/>
  <c r="BV128"/>
  <c r="BV124"/>
  <c r="BV104"/>
  <c r="BV100"/>
  <c r="BV90"/>
  <c r="BV71"/>
  <c r="BV67"/>
  <c r="BV63"/>
  <c r="BV59"/>
  <c r="BV55"/>
  <c r="BV38"/>
  <c r="BV34"/>
  <c r="BV30"/>
  <c r="BV26"/>
  <c r="BV22"/>
  <c r="BV16"/>
  <c r="BV120"/>
  <c r="BV184"/>
  <c r="BV180"/>
  <c r="BV162"/>
  <c r="BV158"/>
  <c r="BV154"/>
  <c r="BV150"/>
  <c r="BV131"/>
  <c r="BV127"/>
  <c r="BV123"/>
  <c r="BV108"/>
  <c r="BV99"/>
  <c r="BV91"/>
  <c r="BV72"/>
  <c r="BV68"/>
  <c r="BV64"/>
  <c r="BV60"/>
  <c r="BV56"/>
  <c r="BV52"/>
  <c r="BV37"/>
  <c r="BV33"/>
  <c r="BV29"/>
  <c r="BV25"/>
  <c r="BV21"/>
  <c r="BV15"/>
  <c r="BU166"/>
  <c r="AI17" i="3"/>
  <c r="AJ17" s="1"/>
  <c r="AH13" i="2"/>
  <c r="AH13" i="3" s="1"/>
  <c r="BR74" i="5"/>
  <c r="BZ74" s="1"/>
  <c r="CA74" s="1"/>
  <c r="BL74" i="4"/>
  <c r="AT133"/>
  <c r="BM133"/>
  <c r="BM166"/>
  <c r="AT222"/>
  <c r="BQ102"/>
  <c r="BV241" i="5"/>
  <c r="BQ241" i="4"/>
  <c r="BV240" i="5"/>
  <c r="BQ240" i="4"/>
  <c r="BV239" i="5"/>
  <c r="BQ239" i="4"/>
  <c r="BV238" i="5"/>
  <c r="BQ238" i="4"/>
  <c r="BV237" i="5"/>
  <c r="BQ237" i="4"/>
  <c r="BV236" i="5"/>
  <c r="BQ236" i="4"/>
  <c r="BV235" i="5"/>
  <c r="BQ235" i="4"/>
  <c r="BV234" i="5"/>
  <c r="BQ234" i="4"/>
  <c r="BV233" i="5"/>
  <c r="BQ233" i="4"/>
  <c r="BV232" i="5"/>
  <c r="BQ232" i="4"/>
  <c r="BV231" i="5"/>
  <c r="BQ231" i="4"/>
  <c r="BV230" i="5"/>
  <c r="BQ230" i="4"/>
  <c r="BV229" i="5"/>
  <c r="BQ229" i="4"/>
  <c r="BV228" i="5"/>
  <c r="BQ228" i="4"/>
  <c r="BQ221"/>
  <c r="BQ220"/>
  <c r="BQ219"/>
  <c r="BQ218"/>
  <c r="BQ217"/>
  <c r="BQ216"/>
  <c r="BQ215"/>
  <c r="BQ214"/>
  <c r="BQ213"/>
  <c r="BQ212"/>
  <c r="BQ211"/>
  <c r="BQ210"/>
  <c r="BQ209"/>
  <c r="BQ208"/>
  <c r="BQ207"/>
  <c r="BQ206"/>
  <c r="BQ205"/>
  <c r="BQ204"/>
  <c r="BQ203"/>
  <c r="BQ202"/>
  <c r="BQ201"/>
  <c r="BQ200"/>
  <c r="BQ199"/>
  <c r="BQ198"/>
  <c r="BQ187"/>
  <c r="BQ185"/>
  <c r="BQ184"/>
  <c r="BQ183"/>
  <c r="BQ180"/>
  <c r="BQ179"/>
  <c r="BQ165"/>
  <c r="BQ163"/>
  <c r="BQ162"/>
  <c r="BQ158"/>
  <c r="BQ157"/>
  <c r="BQ154"/>
  <c r="BQ153"/>
  <c r="BQ150"/>
  <c r="BQ149"/>
  <c r="BQ148"/>
  <c r="BQ147"/>
  <c r="BQ146"/>
  <c r="BQ132"/>
  <c r="BQ131"/>
  <c r="BQ130"/>
  <c r="BQ129"/>
  <c r="BQ128"/>
  <c r="BQ127"/>
  <c r="BQ126"/>
  <c r="BQ125"/>
  <c r="BQ124"/>
  <c r="BQ123"/>
  <c r="BQ122"/>
  <c r="BQ121"/>
  <c r="BQ120"/>
  <c r="BQ108"/>
  <c r="BQ104"/>
  <c r="BQ101"/>
  <c r="BQ100"/>
  <c r="BQ99"/>
  <c r="BQ93"/>
  <c r="BQ92"/>
  <c r="BQ91"/>
  <c r="BQ90"/>
  <c r="BQ87"/>
  <c r="BQ73"/>
  <c r="BN221" i="5"/>
  <c r="AU221" i="4"/>
  <c r="AU220"/>
  <c r="AU219"/>
  <c r="AU218"/>
  <c r="AU217"/>
  <c r="AU216"/>
  <c r="AU215"/>
  <c r="AU214"/>
  <c r="AU213"/>
  <c r="AU212"/>
  <c r="AU211"/>
  <c r="AU210"/>
  <c r="AU209"/>
  <c r="AU208"/>
  <c r="AU207"/>
  <c r="AU206"/>
  <c r="AU205"/>
  <c r="AU204"/>
  <c r="AU203"/>
  <c r="AU202"/>
  <c r="AU201"/>
  <c r="AU200"/>
  <c r="AU199"/>
  <c r="AU198"/>
  <c r="BQ98"/>
  <c r="BQ97"/>
  <c r="BQ96"/>
  <c r="BQ95"/>
  <c r="BQ94"/>
  <c r="BQ89"/>
  <c r="BQ88"/>
  <c r="BQ86"/>
  <c r="BQ85"/>
  <c r="AU40"/>
  <c r="AU187"/>
  <c r="AU185"/>
  <c r="AU184"/>
  <c r="AU183"/>
  <c r="AU180"/>
  <c r="AU179"/>
  <c r="AU165"/>
  <c r="AU163"/>
  <c r="AU162"/>
  <c r="AU161"/>
  <c r="AU160"/>
  <c r="AU159"/>
  <c r="AU158"/>
  <c r="AU157"/>
  <c r="AU156"/>
  <c r="AU155"/>
  <c r="AU154"/>
  <c r="AU153"/>
  <c r="AU152"/>
  <c r="AU151"/>
  <c r="AU150"/>
  <c r="AU149"/>
  <c r="AU148"/>
  <c r="AU147"/>
  <c r="AU146"/>
  <c r="AU132"/>
  <c r="AU131"/>
  <c r="AU130"/>
  <c r="AU129"/>
  <c r="BN128" i="5"/>
  <c r="AU128" i="4"/>
  <c r="AU127"/>
  <c r="AU126"/>
  <c r="AU125"/>
  <c r="AU124"/>
  <c r="AU123"/>
  <c r="AU122"/>
  <c r="AU121"/>
  <c r="AU120"/>
  <c r="AU108"/>
  <c r="AU102"/>
  <c r="AU101"/>
  <c r="AU100"/>
  <c r="AU99"/>
  <c r="AU98"/>
  <c r="AU97"/>
  <c r="AU96"/>
  <c r="AU95"/>
  <c r="AU94"/>
  <c r="AU93"/>
  <c r="AU92"/>
  <c r="BN91" i="5"/>
  <c r="AU91" i="4"/>
  <c r="AU90"/>
  <c r="AU89"/>
  <c r="AU88"/>
  <c r="AU87"/>
  <c r="AU86"/>
  <c r="AU85"/>
  <c r="AU73"/>
  <c r="AU72"/>
  <c r="AU71"/>
  <c r="AU70"/>
  <c r="AU69"/>
  <c r="AU68"/>
  <c r="AU67"/>
  <c r="AU66"/>
  <c r="AU65"/>
  <c r="AU64"/>
  <c r="AU63"/>
  <c r="AU62"/>
  <c r="AU61"/>
  <c r="AU60"/>
  <c r="AU59"/>
  <c r="AU58"/>
  <c r="AU57"/>
  <c r="AU56"/>
  <c r="AU55"/>
  <c r="AU54"/>
  <c r="AU53"/>
  <c r="AU52"/>
  <c r="AU51"/>
  <c r="AU38"/>
  <c r="AU37"/>
  <c r="AU36"/>
  <c r="AU35"/>
  <c r="AU34"/>
  <c r="AU33"/>
  <c r="AU32"/>
  <c r="AU31"/>
  <c r="AU30"/>
  <c r="AU29"/>
  <c r="AU28"/>
  <c r="AU27"/>
  <c r="AU26"/>
  <c r="AU25"/>
  <c r="AU24"/>
  <c r="AU23"/>
  <c r="AU22"/>
  <c r="AU21"/>
  <c r="AU20"/>
  <c r="AU19"/>
  <c r="AU18"/>
  <c r="AU17"/>
  <c r="AU16"/>
  <c r="AU15"/>
  <c r="AU14"/>
  <c r="AU13"/>
  <c r="AU10"/>
  <c r="AU9"/>
  <c r="AU8"/>
  <c r="BN198" i="5"/>
  <c r="BN199"/>
  <c r="BN200"/>
  <c r="BN201"/>
  <c r="BN202"/>
  <c r="BN203"/>
  <c r="BN204"/>
  <c r="BN205"/>
  <c r="BN206"/>
  <c r="BN207"/>
  <c r="BN208"/>
  <c r="BN209"/>
  <c r="BN210"/>
  <c r="BN211"/>
  <c r="BN212"/>
  <c r="BN213"/>
  <c r="BN214"/>
  <c r="BN215"/>
  <c r="BN216"/>
  <c r="BN217"/>
  <c r="BN218"/>
  <c r="BN219"/>
  <c r="BN220"/>
  <c r="BQ70" i="4"/>
  <c r="BQ66"/>
  <c r="BQ62"/>
  <c r="BQ58"/>
  <c r="BQ54"/>
  <c r="BQ40"/>
  <c r="BQ35"/>
  <c r="BQ31"/>
  <c r="BQ27"/>
  <c r="BQ23"/>
  <c r="BQ17"/>
  <c r="BQ13"/>
  <c r="BQ7"/>
  <c r="BQ71"/>
  <c r="BQ67"/>
  <c r="BQ63"/>
  <c r="BQ59"/>
  <c r="BQ55"/>
  <c r="BQ51"/>
  <c r="BQ36"/>
  <c r="BQ32"/>
  <c r="BQ28"/>
  <c r="BQ24"/>
  <c r="BQ18"/>
  <c r="BQ14"/>
  <c r="BQ8"/>
  <c r="BQ72"/>
  <c r="BQ68"/>
  <c r="BQ64"/>
  <c r="BQ60"/>
  <c r="BQ56"/>
  <c r="BQ52"/>
  <c r="BQ37"/>
  <c r="BQ33"/>
  <c r="BQ29"/>
  <c r="BQ25"/>
  <c r="BQ21"/>
  <c r="BQ15"/>
  <c r="BQ9"/>
  <c r="BQ69"/>
  <c r="BQ65"/>
  <c r="BQ61"/>
  <c r="BQ57"/>
  <c r="BQ53"/>
  <c r="BQ34"/>
  <c r="BQ30"/>
  <c r="BQ26"/>
  <c r="BQ22"/>
  <c r="BQ16"/>
  <c r="BQ10"/>
  <c r="BQ161"/>
  <c r="BQ160"/>
  <c r="BQ159"/>
  <c r="BQ156"/>
  <c r="BQ155"/>
  <c r="BQ152"/>
  <c r="BQ151"/>
  <c r="AU105"/>
  <c r="BQ105"/>
  <c r="BQ103"/>
  <c r="AU103"/>
  <c r="AU106"/>
  <c r="BQ106"/>
  <c r="BN11" i="5"/>
  <c r="AU11" i="4"/>
  <c r="BM41"/>
  <c r="AU12"/>
  <c r="AT41"/>
  <c r="BQ11"/>
  <c r="BQ12"/>
  <c r="BR166" i="5"/>
  <c r="BZ166" s="1"/>
  <c r="CA166" s="1"/>
  <c r="BL109" i="4"/>
  <c r="BS111" i="5"/>
  <c r="BT111" s="1"/>
  <c r="N18" i="4"/>
  <c r="AG41"/>
  <c r="AY41"/>
  <c r="AZ41" s="1"/>
  <c r="M18"/>
  <c r="AX242"/>
  <c r="BO244" i="5" s="1"/>
  <c r="AF41"/>
  <c r="BP7"/>
  <c r="BQ7" s="1"/>
  <c r="BS7"/>
  <c r="BT7" s="1"/>
  <c r="BP8"/>
  <c r="BQ8" s="1"/>
  <c r="BP9"/>
  <c r="BQ9" s="1"/>
  <c r="BP10"/>
  <c r="BQ10" s="1"/>
  <c r="BP11"/>
  <c r="BQ11" s="1"/>
  <c r="BP12"/>
  <c r="BQ12" s="1"/>
  <c r="BP13"/>
  <c r="BQ13" s="1"/>
  <c r="BP14"/>
  <c r="BQ14" s="1"/>
  <c r="BP15"/>
  <c r="BQ15" s="1"/>
  <c r="BP16"/>
  <c r="BQ16" s="1"/>
  <c r="BP17"/>
  <c r="BQ17" s="1"/>
  <c r="BP18"/>
  <c r="BQ18" s="1"/>
  <c r="BP19"/>
  <c r="BQ19" s="1"/>
  <c r="BP20"/>
  <c r="BQ20" s="1"/>
  <c r="BP21"/>
  <c r="BQ21" s="1"/>
  <c r="BP22"/>
  <c r="BQ22" s="1"/>
  <c r="BP23"/>
  <c r="BQ23" s="1"/>
  <c r="BP24"/>
  <c r="BQ24" s="1"/>
  <c r="BP25"/>
  <c r="BQ25" s="1"/>
  <c r="BP26"/>
  <c r="BQ26" s="1"/>
  <c r="BP27"/>
  <c r="BQ27" s="1"/>
  <c r="BP28"/>
  <c r="BQ28" s="1"/>
  <c r="BP29"/>
  <c r="BQ29" s="1"/>
  <c r="BP30"/>
  <c r="BQ30" s="1"/>
  <c r="BP31"/>
  <c r="BQ31" s="1"/>
  <c r="BP32"/>
  <c r="BQ32" s="1"/>
  <c r="BP33"/>
  <c r="BQ33" s="1"/>
  <c r="BP34"/>
  <c r="BQ34" s="1"/>
  <c r="BP35"/>
  <c r="BQ35" s="1"/>
  <c r="BP36"/>
  <c r="BQ36" s="1"/>
  <c r="BP37"/>
  <c r="BQ37" s="1"/>
  <c r="BP38"/>
  <c r="BQ38" s="1"/>
  <c r="BP40"/>
  <c r="BQ40" s="1"/>
  <c r="BP51"/>
  <c r="BQ51" s="1"/>
  <c r="BP52"/>
  <c r="BQ52" s="1"/>
  <c r="BP53"/>
  <c r="BQ53" s="1"/>
  <c r="BP54"/>
  <c r="BQ54" s="1"/>
  <c r="BP55"/>
  <c r="BQ55" s="1"/>
  <c r="BP56"/>
  <c r="BQ56" s="1"/>
  <c r="BP57"/>
  <c r="BQ57" s="1"/>
  <c r="BP58"/>
  <c r="BQ58" s="1"/>
  <c r="BP59"/>
  <c r="BQ59" s="1"/>
  <c r="BP60"/>
  <c r="BQ60" s="1"/>
  <c r="BP61"/>
  <c r="BQ61" s="1"/>
  <c r="BP62"/>
  <c r="BQ62" s="1"/>
  <c r="BP63"/>
  <c r="BQ63" s="1"/>
  <c r="BP64"/>
  <c r="BQ64" s="1"/>
  <c r="BP65"/>
  <c r="BQ65" s="1"/>
  <c r="BP66"/>
  <c r="BQ66" s="1"/>
  <c r="BP67"/>
  <c r="BQ67" s="1"/>
  <c r="BP68"/>
  <c r="BQ68" s="1"/>
  <c r="BP69"/>
  <c r="BQ69" s="1"/>
  <c r="BP70"/>
  <c r="BQ70" s="1"/>
  <c r="BP71"/>
  <c r="BQ71" s="1"/>
  <c r="BP72"/>
  <c r="BQ72" s="1"/>
  <c r="BP73"/>
  <c r="BQ73" s="1"/>
  <c r="BP85"/>
  <c r="BQ85" s="1"/>
  <c r="BP86"/>
  <c r="BQ86" s="1"/>
  <c r="BP87"/>
  <c r="BQ87" s="1"/>
  <c r="BP88"/>
  <c r="BQ88" s="1"/>
  <c r="BP89"/>
  <c r="BQ89" s="1"/>
  <c r="BP90"/>
  <c r="BQ90" s="1"/>
  <c r="BP92"/>
  <c r="BQ92" s="1"/>
  <c r="BP93"/>
  <c r="BQ93" s="1"/>
  <c r="BP94"/>
  <c r="BQ94" s="1"/>
  <c r="BP95"/>
  <c r="BQ95" s="1"/>
  <c r="BP96"/>
  <c r="BQ96" s="1"/>
  <c r="BP97"/>
  <c r="BQ97" s="1"/>
  <c r="BP98"/>
  <c r="BQ98" s="1"/>
  <c r="BP99"/>
  <c r="BQ99" s="1"/>
  <c r="BP100"/>
  <c r="BQ100" s="1"/>
  <c r="BP101"/>
  <c r="BQ101" s="1"/>
  <c r="BP102"/>
  <c r="BQ102" s="1"/>
  <c r="BP103"/>
  <c r="BQ103" s="1"/>
  <c r="BP104"/>
  <c r="BQ104" s="1"/>
  <c r="BP105"/>
  <c r="BQ105" s="1"/>
  <c r="BP106"/>
  <c r="BQ106" s="1"/>
  <c r="BP108"/>
  <c r="BQ108" s="1"/>
  <c r="BP120"/>
  <c r="BQ120" s="1"/>
  <c r="BP121"/>
  <c r="BQ121" s="1"/>
  <c r="BP122"/>
  <c r="BQ122" s="1"/>
  <c r="BP123"/>
  <c r="BQ123" s="1"/>
  <c r="BP124"/>
  <c r="BQ124" s="1"/>
  <c r="BP125"/>
  <c r="BQ125" s="1"/>
  <c r="BP126"/>
  <c r="BQ126" s="1"/>
  <c r="BP127"/>
  <c r="BQ127" s="1"/>
  <c r="BP129"/>
  <c r="BQ129" s="1"/>
  <c r="BP130"/>
  <c r="BQ130" s="1"/>
  <c r="BP131"/>
  <c r="BQ131" s="1"/>
  <c r="BP132"/>
  <c r="BQ132" s="1"/>
  <c r="BP146"/>
  <c r="BQ146" s="1"/>
  <c r="BP147"/>
  <c r="BQ147" s="1"/>
  <c r="BP148"/>
  <c r="BQ148" s="1"/>
  <c r="BP149"/>
  <c r="BQ149" s="1"/>
  <c r="BP150"/>
  <c r="BQ150" s="1"/>
  <c r="BP151"/>
  <c r="BQ151" s="1"/>
  <c r="BP152"/>
  <c r="BQ152" s="1"/>
  <c r="BP153"/>
  <c r="BQ153" s="1"/>
  <c r="BP154"/>
  <c r="BQ154" s="1"/>
  <c r="BP155"/>
  <c r="BQ155" s="1"/>
  <c r="BP156"/>
  <c r="BQ156" s="1"/>
  <c r="BP157"/>
  <c r="BQ157" s="1"/>
  <c r="BP158"/>
  <c r="BQ158" s="1"/>
  <c r="BP159"/>
  <c r="BQ159" s="1"/>
  <c r="BP160"/>
  <c r="BQ160" s="1"/>
  <c r="BP161"/>
  <c r="BQ161" s="1"/>
  <c r="BP162"/>
  <c r="BQ162" s="1"/>
  <c r="BP163"/>
  <c r="BQ163" s="1"/>
  <c r="BP164"/>
  <c r="BQ164" s="1"/>
  <c r="BP179"/>
  <c r="BQ179" s="1"/>
  <c r="BP180"/>
  <c r="BQ180" s="1"/>
  <c r="BP181"/>
  <c r="BQ181" s="1"/>
  <c r="BP182"/>
  <c r="BQ182" s="1"/>
  <c r="BP183"/>
  <c r="BQ183" s="1"/>
  <c r="BP184"/>
  <c r="BQ184" s="1"/>
  <c r="BP185"/>
  <c r="BQ185" s="1"/>
  <c r="BP187"/>
  <c r="BQ187" s="1"/>
  <c r="BP198"/>
  <c r="BQ198" s="1"/>
  <c r="BP199"/>
  <c r="BQ199" s="1"/>
  <c r="BP200"/>
  <c r="BQ200" s="1"/>
  <c r="BP201"/>
  <c r="BQ201" s="1"/>
  <c r="BP202"/>
  <c r="BQ202" s="1"/>
  <c r="BP203"/>
  <c r="BQ203" s="1"/>
  <c r="BP204"/>
  <c r="BQ204" s="1"/>
  <c r="BP205"/>
  <c r="BQ205" s="1"/>
  <c r="BP206"/>
  <c r="BQ206" s="1"/>
  <c r="BP207"/>
  <c r="BQ207" s="1"/>
  <c r="BP208"/>
  <c r="BQ208" s="1"/>
  <c r="BP209"/>
  <c r="BQ209" s="1"/>
  <c r="BP210"/>
  <c r="BQ210" s="1"/>
  <c r="BP211"/>
  <c r="BQ211" s="1"/>
  <c r="BP212"/>
  <c r="BQ212" s="1"/>
  <c r="BP213"/>
  <c r="BQ213" s="1"/>
  <c r="BP214"/>
  <c r="BQ214" s="1"/>
  <c r="BP215"/>
  <c r="BQ215" s="1"/>
  <c r="BP216"/>
  <c r="BQ216" s="1"/>
  <c r="BP217"/>
  <c r="BQ217" s="1"/>
  <c r="BP218"/>
  <c r="BQ218" s="1"/>
  <c r="BP219"/>
  <c r="BQ219" s="1"/>
  <c r="BP220"/>
  <c r="BQ220" s="1"/>
  <c r="BS8"/>
  <c r="BT8" s="1"/>
  <c r="BS10"/>
  <c r="BT10" s="1"/>
  <c r="BS12"/>
  <c r="BT12" s="1"/>
  <c r="BS14"/>
  <c r="BT14" s="1"/>
  <c r="BS16"/>
  <c r="BT16" s="1"/>
  <c r="BS18"/>
  <c r="BT18" s="1"/>
  <c r="BS20"/>
  <c r="BT20" s="1"/>
  <c r="BS22"/>
  <c r="BT22" s="1"/>
  <c r="BS24"/>
  <c r="BT24" s="1"/>
  <c r="BS26"/>
  <c r="BT26" s="1"/>
  <c r="BS28"/>
  <c r="BT28" s="1"/>
  <c r="BS30"/>
  <c r="BT30" s="1"/>
  <c r="BS32"/>
  <c r="BT32" s="1"/>
  <c r="BS34"/>
  <c r="BT34" s="1"/>
  <c r="BS36"/>
  <c r="BT36" s="1"/>
  <c r="BS38"/>
  <c r="BT38" s="1"/>
  <c r="BS52"/>
  <c r="BT52" s="1"/>
  <c r="BS54"/>
  <c r="BT54" s="1"/>
  <c r="AI14" i="2"/>
  <c r="AJ14" s="1"/>
  <c r="AI17"/>
  <c r="AJ17" s="1"/>
  <c r="Y41" i="4"/>
  <c r="BS9" i="5"/>
  <c r="BT9" s="1"/>
  <c r="BS11"/>
  <c r="BT11" s="1"/>
  <c r="BS13"/>
  <c r="BT13" s="1"/>
  <c r="BS15"/>
  <c r="BT15" s="1"/>
  <c r="BS17"/>
  <c r="BT17" s="1"/>
  <c r="BS19"/>
  <c r="BT19" s="1"/>
  <c r="BS21"/>
  <c r="BT21" s="1"/>
  <c r="BS23"/>
  <c r="BT23" s="1"/>
  <c r="BS25"/>
  <c r="BT25" s="1"/>
  <c r="BS27"/>
  <c r="BT27" s="1"/>
  <c r="BS29"/>
  <c r="BT29" s="1"/>
  <c r="BS31"/>
  <c r="BT31" s="1"/>
  <c r="BS33"/>
  <c r="BT33" s="1"/>
  <c r="BS35"/>
  <c r="BT35" s="1"/>
  <c r="BS37"/>
  <c r="BT37" s="1"/>
  <c r="BS40"/>
  <c r="BT40" s="1"/>
  <c r="BS51"/>
  <c r="BT51" s="1"/>
  <c r="BS53"/>
  <c r="BT53" s="1"/>
  <c r="BS55"/>
  <c r="BT55" s="1"/>
  <c r="BS57"/>
  <c r="BT57" s="1"/>
  <c r="BS59"/>
  <c r="BT59" s="1"/>
  <c r="BS61"/>
  <c r="BT61" s="1"/>
  <c r="BS63"/>
  <c r="BT63" s="1"/>
  <c r="BS65"/>
  <c r="BT65" s="1"/>
  <c r="BS67"/>
  <c r="BT67" s="1"/>
  <c r="BS69"/>
  <c r="BT69" s="1"/>
  <c r="BS71"/>
  <c r="BT71" s="1"/>
  <c r="BS73"/>
  <c r="BT73" s="1"/>
  <c r="BS85"/>
  <c r="BT85" s="1"/>
  <c r="BS87"/>
  <c r="BT87" s="1"/>
  <c r="BS89"/>
  <c r="BT89" s="1"/>
  <c r="BS91"/>
  <c r="BT91" s="1"/>
  <c r="BS93"/>
  <c r="BT93" s="1"/>
  <c r="BS95"/>
  <c r="BT95" s="1"/>
  <c r="BS97"/>
  <c r="BT97" s="1"/>
  <c r="BS99"/>
  <c r="BT99" s="1"/>
  <c r="BS101"/>
  <c r="BT101" s="1"/>
  <c r="BS103"/>
  <c r="BT103" s="1"/>
  <c r="BS105"/>
  <c r="BT105" s="1"/>
  <c r="BS108"/>
  <c r="BT108" s="1"/>
  <c r="BS120"/>
  <c r="BT120" s="1"/>
  <c r="BS122"/>
  <c r="BT122" s="1"/>
  <c r="BS124"/>
  <c r="BT124" s="1"/>
  <c r="BS126"/>
  <c r="BT126" s="1"/>
  <c r="BS128"/>
  <c r="BT128" s="1"/>
  <c r="BS130"/>
  <c r="BT130" s="1"/>
  <c r="BS132"/>
  <c r="BT132" s="1"/>
  <c r="BS146"/>
  <c r="BT146" s="1"/>
  <c r="BS148"/>
  <c r="BT148" s="1"/>
  <c r="BS150"/>
  <c r="BT150" s="1"/>
  <c r="BS152"/>
  <c r="BT152" s="1"/>
  <c r="BS154"/>
  <c r="BT154" s="1"/>
  <c r="BS156"/>
  <c r="BT156" s="1"/>
  <c r="BS158"/>
  <c r="BT158" s="1"/>
  <c r="BS160"/>
  <c r="BT160" s="1"/>
  <c r="BS162"/>
  <c r="BT162" s="1"/>
  <c r="BS164"/>
  <c r="BT164" s="1"/>
  <c r="BS179"/>
  <c r="BT179" s="1"/>
  <c r="BS181"/>
  <c r="BT181" s="1"/>
  <c r="BS183"/>
  <c r="BT183" s="1"/>
  <c r="BS185"/>
  <c r="BT185" s="1"/>
  <c r="BS188"/>
  <c r="BT188" s="1"/>
  <c r="BS199"/>
  <c r="BT199" s="1"/>
  <c r="BS201"/>
  <c r="BT201" s="1"/>
  <c r="BS203"/>
  <c r="BT203" s="1"/>
  <c r="BS205"/>
  <c r="BT205" s="1"/>
  <c r="BS207"/>
  <c r="BT207" s="1"/>
  <c r="BS209"/>
  <c r="BT209" s="1"/>
  <c r="BS211"/>
  <c r="BT211" s="1"/>
  <c r="BS213"/>
  <c r="BT213" s="1"/>
  <c r="BS215"/>
  <c r="BT215" s="1"/>
  <c r="BS217"/>
  <c r="BT217" s="1"/>
  <c r="BS219"/>
  <c r="BT219" s="1"/>
  <c r="BS221"/>
  <c r="BT221" s="1"/>
  <c r="BS56"/>
  <c r="BT56" s="1"/>
  <c r="BS58"/>
  <c r="BT58" s="1"/>
  <c r="BS60"/>
  <c r="BT60" s="1"/>
  <c r="BS62"/>
  <c r="BT62" s="1"/>
  <c r="BS64"/>
  <c r="BT64" s="1"/>
  <c r="BS66"/>
  <c r="BT66" s="1"/>
  <c r="BS68"/>
  <c r="BT68" s="1"/>
  <c r="BS70"/>
  <c r="BT70" s="1"/>
  <c r="BS72"/>
  <c r="BT72" s="1"/>
  <c r="BS86"/>
  <c r="BT86" s="1"/>
  <c r="BS88"/>
  <c r="BT88" s="1"/>
  <c r="BS90"/>
  <c r="BT90" s="1"/>
  <c r="BS92"/>
  <c r="BT92" s="1"/>
  <c r="BS94"/>
  <c r="BT94" s="1"/>
  <c r="BS96"/>
  <c r="BT96" s="1"/>
  <c r="BS98"/>
  <c r="BT98" s="1"/>
  <c r="BS100"/>
  <c r="BT100" s="1"/>
  <c r="BS102"/>
  <c r="BT102" s="1"/>
  <c r="BS104"/>
  <c r="BT104" s="1"/>
  <c r="BS106"/>
  <c r="BT106" s="1"/>
  <c r="BS109"/>
  <c r="BT109" s="1"/>
  <c r="BS121"/>
  <c r="BT121" s="1"/>
  <c r="BS123"/>
  <c r="BT123" s="1"/>
  <c r="BS125"/>
  <c r="BT125" s="1"/>
  <c r="BS127"/>
  <c r="BT127" s="1"/>
  <c r="BS129"/>
  <c r="BT129" s="1"/>
  <c r="BS131"/>
  <c r="BT131" s="1"/>
  <c r="BS147"/>
  <c r="BT147" s="1"/>
  <c r="BS149"/>
  <c r="BT149" s="1"/>
  <c r="BS151"/>
  <c r="BT151" s="1"/>
  <c r="BS153"/>
  <c r="BT153" s="1"/>
  <c r="BS155"/>
  <c r="BT155" s="1"/>
  <c r="BS157"/>
  <c r="BT157" s="1"/>
  <c r="BS159"/>
  <c r="BT159" s="1"/>
  <c r="BS161"/>
  <c r="BT161" s="1"/>
  <c r="BS163"/>
  <c r="BT163" s="1"/>
  <c r="BS180"/>
  <c r="BT180" s="1"/>
  <c r="BS182"/>
  <c r="BT182" s="1"/>
  <c r="BS184"/>
  <c r="BT184" s="1"/>
  <c r="BS187"/>
  <c r="BT187" s="1"/>
  <c r="BS198"/>
  <c r="BT198" s="1"/>
  <c r="BS200"/>
  <c r="BT200" s="1"/>
  <c r="BS202"/>
  <c r="BT202" s="1"/>
  <c r="BS204"/>
  <c r="BT204" s="1"/>
  <c r="BS206"/>
  <c r="BT206" s="1"/>
  <c r="BS208"/>
  <c r="BT208" s="1"/>
  <c r="BS210"/>
  <c r="BT210" s="1"/>
  <c r="BS212"/>
  <c r="BT212" s="1"/>
  <c r="BS214"/>
  <c r="BT214" s="1"/>
  <c r="BS216"/>
  <c r="BT216" s="1"/>
  <c r="BS218"/>
  <c r="BT218" s="1"/>
  <c r="BS220"/>
  <c r="BT220" s="1"/>
  <c r="BS222"/>
  <c r="BT222" s="1"/>
  <c r="AH14" i="3"/>
  <c r="AI14" s="1"/>
  <c r="AJ14" s="1"/>
  <c r="AI11" i="2"/>
  <c r="AJ11" s="1"/>
  <c r="AA56" i="4"/>
  <c r="AA56" i="5" s="1"/>
  <c r="X56"/>
  <c r="U56" i="4"/>
  <c r="U56" i="5" s="1"/>
  <c r="AA51" i="4"/>
  <c r="AA51" i="5" s="1"/>
  <c r="X51" i="4"/>
  <c r="X51" i="5" s="1"/>
  <c r="F51" i="4"/>
  <c r="F51" i="5" s="1"/>
  <c r="B164"/>
  <c r="B228"/>
  <c r="B229"/>
  <c r="B230"/>
  <c r="B231"/>
  <c r="B232"/>
  <c r="B233"/>
  <c r="B234"/>
  <c r="B235"/>
  <c r="B236"/>
  <c r="B237"/>
  <c r="B238"/>
  <c r="B239"/>
  <c r="B240"/>
  <c r="B241"/>
  <c r="B242"/>
  <c r="BK221"/>
  <c r="BK128"/>
  <c r="BK106"/>
  <c r="BK91"/>
  <c r="BK40"/>
  <c r="BK37"/>
  <c r="BK17"/>
  <c r="L228"/>
  <c r="L229"/>
  <c r="L230"/>
  <c r="L231"/>
  <c r="L232"/>
  <c r="L233"/>
  <c r="L234"/>
  <c r="L235"/>
  <c r="L236"/>
  <c r="L237"/>
  <c r="L238"/>
  <c r="L239"/>
  <c r="L240"/>
  <c r="L241"/>
  <c r="L242"/>
  <c r="O164"/>
  <c r="O228"/>
  <c r="O229"/>
  <c r="O230"/>
  <c r="O231"/>
  <c r="O232"/>
  <c r="O233"/>
  <c r="O234"/>
  <c r="O235"/>
  <c r="O236"/>
  <c r="O237"/>
  <c r="O238"/>
  <c r="O239"/>
  <c r="O240"/>
  <c r="O241"/>
  <c r="O242"/>
  <c r="R164"/>
  <c r="R228"/>
  <c r="R229"/>
  <c r="R230"/>
  <c r="R231"/>
  <c r="R232"/>
  <c r="R233"/>
  <c r="R234"/>
  <c r="R235"/>
  <c r="R236"/>
  <c r="R237"/>
  <c r="R238"/>
  <c r="R239"/>
  <c r="R240"/>
  <c r="R241"/>
  <c r="R242"/>
  <c r="U228"/>
  <c r="U229"/>
  <c r="U230"/>
  <c r="U231"/>
  <c r="U232"/>
  <c r="U233"/>
  <c r="U234"/>
  <c r="U235"/>
  <c r="U236"/>
  <c r="U237"/>
  <c r="U238"/>
  <c r="U239"/>
  <c r="U240"/>
  <c r="U241"/>
  <c r="U242"/>
  <c r="AK11" i="3" l="1"/>
  <c r="AP11" i="2"/>
  <c r="AQ11" s="1"/>
  <c r="AI11" i="3"/>
  <c r="AJ11" s="1"/>
  <c r="AL11" i="2"/>
  <c r="AM11" s="1"/>
  <c r="CD133" i="5"/>
  <c r="BZ133"/>
  <c r="CA133" s="1"/>
  <c r="BL242" i="4"/>
  <c r="BX242" s="1"/>
  <c r="BY242" s="1"/>
  <c r="AK18" i="2"/>
  <c r="AP18" s="1"/>
  <c r="BR242" i="4"/>
  <c r="BS166" i="5"/>
  <c r="BT166" s="1"/>
  <c r="AL14" i="2"/>
  <c r="AM14" s="1"/>
  <c r="BP133" i="5"/>
  <c r="BQ133" s="1"/>
  <c r="BV74"/>
  <c r="AY109" i="4"/>
  <c r="AZ109" s="1"/>
  <c r="BP41" i="5"/>
  <c r="BQ41" s="1"/>
  <c r="BV133"/>
  <c r="AK16" i="3"/>
  <c r="AQ16" i="2"/>
  <c r="AK14" i="3"/>
  <c r="AQ14" i="2"/>
  <c r="AK15" i="3"/>
  <c r="AQ15" i="2"/>
  <c r="BU244" i="5"/>
  <c r="BV222"/>
  <c r="BX109" i="4"/>
  <c r="BY109" s="1"/>
  <c r="AL17" i="2"/>
  <c r="AM17" s="1"/>
  <c r="BX222" i="4"/>
  <c r="BY222" s="1"/>
  <c r="BX74"/>
  <c r="BY74" s="1"/>
  <c r="AF242"/>
  <c r="AT109"/>
  <c r="AU109" s="1"/>
  <c r="AI13" i="3"/>
  <c r="AJ13" s="1"/>
  <c r="AF109" i="5"/>
  <c r="BP109" s="1"/>
  <c r="BQ109" s="1"/>
  <c r="AL15" i="2"/>
  <c r="AM15" s="1"/>
  <c r="BS133" i="5"/>
  <c r="BT133" s="1"/>
  <c r="AI15" i="2"/>
  <c r="AJ15" s="1"/>
  <c r="AI13"/>
  <c r="AJ13" s="1"/>
  <c r="AT166" i="4"/>
  <c r="AU166" s="1"/>
  <c r="BV166" i="5"/>
  <c r="BV109"/>
  <c r="BM133"/>
  <c r="BN133" s="1"/>
  <c r="BM166"/>
  <c r="BN166" s="1"/>
  <c r="BM41"/>
  <c r="BN41" s="1"/>
  <c r="BM74"/>
  <c r="BM109" i="4"/>
  <c r="BQ109" s="1"/>
  <c r="BQ222"/>
  <c r="AU222"/>
  <c r="BQ166"/>
  <c r="BQ133"/>
  <c r="AU133"/>
  <c r="AU41"/>
  <c r="BQ41"/>
  <c r="BF242"/>
  <c r="BG242" s="1"/>
  <c r="Y34" i="5"/>
  <c r="X228"/>
  <c r="X229"/>
  <c r="X230"/>
  <c r="X231"/>
  <c r="X232"/>
  <c r="X233"/>
  <c r="X234"/>
  <c r="X235"/>
  <c r="X236"/>
  <c r="X237"/>
  <c r="X238"/>
  <c r="X239"/>
  <c r="X240"/>
  <c r="X241"/>
  <c r="X242"/>
  <c r="AA228"/>
  <c r="AA229"/>
  <c r="AA230"/>
  <c r="AA231"/>
  <c r="AA232"/>
  <c r="AA233"/>
  <c r="AA234"/>
  <c r="AA235"/>
  <c r="AA236"/>
  <c r="AA237"/>
  <c r="AA238"/>
  <c r="AA239"/>
  <c r="AA240"/>
  <c r="AA241"/>
  <c r="AP15" i="3" l="1"/>
  <c r="AQ15" s="1"/>
  <c r="AP14"/>
  <c r="AQ14" s="1"/>
  <c r="AP16"/>
  <c r="AQ16" s="1"/>
  <c r="AP11"/>
  <c r="AQ11" s="1"/>
  <c r="AL15"/>
  <c r="AM15" s="1"/>
  <c r="AL14"/>
  <c r="AM14" s="1"/>
  <c r="AK18"/>
  <c r="AQ18" i="2"/>
  <c r="AK12" i="3"/>
  <c r="AQ12" i="2"/>
  <c r="AK17" i="3"/>
  <c r="AQ17" i="2"/>
  <c r="AK13" i="3"/>
  <c r="AQ13" i="2"/>
  <c r="AL13"/>
  <c r="AM13" s="1"/>
  <c r="BM109" i="5"/>
  <c r="BN109" s="1"/>
  <c r="BU242"/>
  <c r="AD8"/>
  <c r="AD9"/>
  <c r="AD10"/>
  <c r="AD11"/>
  <c r="AD12"/>
  <c r="AD13"/>
  <c r="AD14"/>
  <c r="AD15"/>
  <c r="AD16"/>
  <c r="AD17"/>
  <c r="AD18"/>
  <c r="AD19"/>
  <c r="AD20"/>
  <c r="AD21"/>
  <c r="AD22"/>
  <c r="AD23"/>
  <c r="AD24"/>
  <c r="AD25"/>
  <c r="AD26"/>
  <c r="AD27"/>
  <c r="AD28"/>
  <c r="AD29"/>
  <c r="AD30"/>
  <c r="AD31"/>
  <c r="AD32"/>
  <c r="AD33"/>
  <c r="AD34"/>
  <c r="AD51"/>
  <c r="AD52"/>
  <c r="AD53"/>
  <c r="AD54"/>
  <c r="AD55"/>
  <c r="AD56"/>
  <c r="AD57"/>
  <c r="AD58"/>
  <c r="AD59"/>
  <c r="AD60"/>
  <c r="AD61"/>
  <c r="AD62"/>
  <c r="AD63"/>
  <c r="AD64"/>
  <c r="AD65"/>
  <c r="AD66"/>
  <c r="AD67"/>
  <c r="AD68"/>
  <c r="AD69"/>
  <c r="AD70"/>
  <c r="AD71"/>
  <c r="AD72"/>
  <c r="AD73"/>
  <c r="AD75"/>
  <c r="AD85"/>
  <c r="AD86"/>
  <c r="AD87"/>
  <c r="AD88"/>
  <c r="AD89"/>
  <c r="AD90"/>
  <c r="AD92"/>
  <c r="AD93"/>
  <c r="AD94"/>
  <c r="AD95"/>
  <c r="AD96"/>
  <c r="AD97"/>
  <c r="AD98"/>
  <c r="AD99"/>
  <c r="AD100"/>
  <c r="AD101"/>
  <c r="AD102"/>
  <c r="AD103"/>
  <c r="AD104"/>
  <c r="AD105"/>
  <c r="AD106"/>
  <c r="AD108"/>
  <c r="AD120"/>
  <c r="AD122"/>
  <c r="AD123"/>
  <c r="AD125"/>
  <c r="AD126"/>
  <c r="AD127"/>
  <c r="AD129"/>
  <c r="AD130"/>
  <c r="AD131"/>
  <c r="AD132"/>
  <c r="AD136"/>
  <c r="AD137"/>
  <c r="AD146"/>
  <c r="AD147"/>
  <c r="AD148"/>
  <c r="AD149"/>
  <c r="AD150"/>
  <c r="AD151"/>
  <c r="AD152"/>
  <c r="AD153"/>
  <c r="AD154"/>
  <c r="AD155"/>
  <c r="AD156"/>
  <c r="AD157"/>
  <c r="AD158"/>
  <c r="AD159"/>
  <c r="AD160"/>
  <c r="AD161"/>
  <c r="AD162"/>
  <c r="AD163"/>
  <c r="AD164"/>
  <c r="AD167"/>
  <c r="AD169"/>
  <c r="AD179"/>
  <c r="AD180"/>
  <c r="AD181"/>
  <c r="AD182"/>
  <c r="AD183"/>
  <c r="AD184"/>
  <c r="AD185"/>
  <c r="AD187"/>
  <c r="AD198"/>
  <c r="AD199"/>
  <c r="AD200"/>
  <c r="AD201"/>
  <c r="AD202"/>
  <c r="AD203"/>
  <c r="AD204"/>
  <c r="AD205"/>
  <c r="AD206"/>
  <c r="AD207"/>
  <c r="AD208"/>
  <c r="AD209"/>
  <c r="AD210"/>
  <c r="AD211"/>
  <c r="AD212"/>
  <c r="AD213"/>
  <c r="AD214"/>
  <c r="AD215"/>
  <c r="AD216"/>
  <c r="AD217"/>
  <c r="AD218"/>
  <c r="AD219"/>
  <c r="AD220"/>
  <c r="AD221"/>
  <c r="AD228"/>
  <c r="AD229"/>
  <c r="AD230"/>
  <c r="AD231"/>
  <c r="AD232"/>
  <c r="AD233"/>
  <c r="AD234"/>
  <c r="AD235"/>
  <c r="AD236"/>
  <c r="AD237"/>
  <c r="AD238"/>
  <c r="AD239"/>
  <c r="AD240"/>
  <c r="AD241"/>
  <c r="AD242"/>
  <c r="AD7"/>
  <c r="I19"/>
  <c r="M57"/>
  <c r="M122"/>
  <c r="I164"/>
  <c r="M182"/>
  <c r="M203"/>
  <c r="M204"/>
  <c r="M205"/>
  <c r="M210"/>
  <c r="M214"/>
  <c r="I228"/>
  <c r="I229"/>
  <c r="I230"/>
  <c r="I231"/>
  <c r="I232"/>
  <c r="I233"/>
  <c r="I234"/>
  <c r="I235"/>
  <c r="I236"/>
  <c r="I237"/>
  <c r="I238"/>
  <c r="I239"/>
  <c r="I240"/>
  <c r="I241"/>
  <c r="I242"/>
  <c r="F19"/>
  <c r="F164"/>
  <c r="F228"/>
  <c r="F229"/>
  <c r="F230"/>
  <c r="F231"/>
  <c r="F232"/>
  <c r="F233"/>
  <c r="F234"/>
  <c r="F235"/>
  <c r="F236"/>
  <c r="F237"/>
  <c r="F238"/>
  <c r="F239"/>
  <c r="F240"/>
  <c r="F241"/>
  <c r="F242"/>
  <c r="C19"/>
  <c r="E55"/>
  <c r="E59"/>
  <c r="E60"/>
  <c r="E64"/>
  <c r="E66"/>
  <c r="E67"/>
  <c r="E68"/>
  <c r="E69"/>
  <c r="E87"/>
  <c r="E91"/>
  <c r="E92"/>
  <c r="E93"/>
  <c r="E94"/>
  <c r="E95"/>
  <c r="E122"/>
  <c r="E125"/>
  <c r="E153"/>
  <c r="E154"/>
  <c r="E155"/>
  <c r="E156"/>
  <c r="E157"/>
  <c r="C164"/>
  <c r="E164" s="1"/>
  <c r="E184"/>
  <c r="E185"/>
  <c r="E187"/>
  <c r="E198"/>
  <c r="E199"/>
  <c r="E200"/>
  <c r="E201"/>
  <c r="D202"/>
  <c r="D203"/>
  <c r="D204"/>
  <c r="D210"/>
  <c r="D214"/>
  <c r="D215"/>
  <c r="C228"/>
  <c r="E228" s="1"/>
  <c r="C229"/>
  <c r="E229" s="1"/>
  <c r="C230"/>
  <c r="E230" s="1"/>
  <c r="C231"/>
  <c r="E231" s="1"/>
  <c r="C232"/>
  <c r="E232" s="1"/>
  <c r="C233"/>
  <c r="E233" s="1"/>
  <c r="C234"/>
  <c r="E234" s="1"/>
  <c r="C235"/>
  <c r="E235" s="1"/>
  <c r="C236"/>
  <c r="E236" s="1"/>
  <c r="C237"/>
  <c r="E237" s="1"/>
  <c r="C238"/>
  <c r="E238" s="1"/>
  <c r="C239"/>
  <c r="E239" s="1"/>
  <c r="C240"/>
  <c r="E240" s="1"/>
  <c r="C241"/>
  <c r="E241" s="1"/>
  <c r="C242"/>
  <c r="E242" s="1"/>
  <c r="B19"/>
  <c r="H200" i="4"/>
  <c r="K227"/>
  <c r="K228"/>
  <c r="K229"/>
  <c r="K230"/>
  <c r="K231"/>
  <c r="K232"/>
  <c r="K233"/>
  <c r="K234"/>
  <c r="K235"/>
  <c r="K236"/>
  <c r="K237"/>
  <c r="K238"/>
  <c r="K239"/>
  <c r="K240"/>
  <c r="K241"/>
  <c r="K55"/>
  <c r="K59"/>
  <c r="K60"/>
  <c r="K63"/>
  <c r="K64"/>
  <c r="K66"/>
  <c r="K67"/>
  <c r="K68"/>
  <c r="K69"/>
  <c r="K87"/>
  <c r="K89"/>
  <c r="K91"/>
  <c r="K92"/>
  <c r="K93"/>
  <c r="K94"/>
  <c r="K95"/>
  <c r="K122"/>
  <c r="K124"/>
  <c r="K125"/>
  <c r="K153"/>
  <c r="K154"/>
  <c r="K155"/>
  <c r="K156"/>
  <c r="K158"/>
  <c r="K159"/>
  <c r="K160"/>
  <c r="K184"/>
  <c r="K185"/>
  <c r="K187"/>
  <c r="K198"/>
  <c r="K200"/>
  <c r="K201"/>
  <c r="K202"/>
  <c r="J87"/>
  <c r="J89"/>
  <c r="J91"/>
  <c r="J92"/>
  <c r="J93"/>
  <c r="J94"/>
  <c r="J95"/>
  <c r="J97"/>
  <c r="J99"/>
  <c r="J122"/>
  <c r="J124"/>
  <c r="J125"/>
  <c r="J153"/>
  <c r="J154"/>
  <c r="J155"/>
  <c r="J156"/>
  <c r="J158"/>
  <c r="J159"/>
  <c r="J160"/>
  <c r="J182"/>
  <c r="J184"/>
  <c r="J185"/>
  <c r="J187"/>
  <c r="J198"/>
  <c r="J199"/>
  <c r="J200"/>
  <c r="J201"/>
  <c r="J202"/>
  <c r="J203"/>
  <c r="J204"/>
  <c r="J205"/>
  <c r="J210"/>
  <c r="J214"/>
  <c r="J215"/>
  <c r="J216"/>
  <c r="J227"/>
  <c r="J228"/>
  <c r="J229"/>
  <c r="J230"/>
  <c r="J231"/>
  <c r="J232"/>
  <c r="J233"/>
  <c r="J234"/>
  <c r="J235"/>
  <c r="J236"/>
  <c r="J237"/>
  <c r="J238"/>
  <c r="J239"/>
  <c r="J240"/>
  <c r="J241"/>
  <c r="J52"/>
  <c r="J53"/>
  <c r="J54"/>
  <c r="J55"/>
  <c r="J57"/>
  <c r="J59"/>
  <c r="J60"/>
  <c r="J63"/>
  <c r="J64"/>
  <c r="J66"/>
  <c r="J67"/>
  <c r="J68"/>
  <c r="J69"/>
  <c r="H55"/>
  <c r="H59"/>
  <c r="H60"/>
  <c r="H66"/>
  <c r="H67"/>
  <c r="H68"/>
  <c r="H69"/>
  <c r="H87"/>
  <c r="H91"/>
  <c r="H92"/>
  <c r="H93"/>
  <c r="H94"/>
  <c r="H95"/>
  <c r="H122"/>
  <c r="H125"/>
  <c r="H153"/>
  <c r="H154"/>
  <c r="H155"/>
  <c r="H156"/>
  <c r="H158"/>
  <c r="H184"/>
  <c r="H185"/>
  <c r="H187"/>
  <c r="H198"/>
  <c r="H201"/>
  <c r="H202"/>
  <c r="H227"/>
  <c r="H228"/>
  <c r="H229"/>
  <c r="H230"/>
  <c r="H231"/>
  <c r="H232"/>
  <c r="H233"/>
  <c r="H234"/>
  <c r="H235"/>
  <c r="H236"/>
  <c r="H237"/>
  <c r="H238"/>
  <c r="H239"/>
  <c r="H240"/>
  <c r="H241"/>
  <c r="G52"/>
  <c r="G53"/>
  <c r="G54"/>
  <c r="G55"/>
  <c r="G59"/>
  <c r="G60"/>
  <c r="G64"/>
  <c r="G66"/>
  <c r="G67"/>
  <c r="G68"/>
  <c r="G69"/>
  <c r="G87"/>
  <c r="G91"/>
  <c r="G92"/>
  <c r="G93"/>
  <c r="G94"/>
  <c r="G95"/>
  <c r="G97"/>
  <c r="G99"/>
  <c r="G122"/>
  <c r="G125"/>
  <c r="G153"/>
  <c r="G154"/>
  <c r="G155"/>
  <c r="G156"/>
  <c r="G158"/>
  <c r="G159"/>
  <c r="G160"/>
  <c r="G179"/>
  <c r="G182"/>
  <c r="G184"/>
  <c r="G185"/>
  <c r="G187"/>
  <c r="G198"/>
  <c r="G199"/>
  <c r="G200"/>
  <c r="G201"/>
  <c r="G202"/>
  <c r="G203"/>
  <c r="G204"/>
  <c r="G210"/>
  <c r="G214"/>
  <c r="G215"/>
  <c r="G227"/>
  <c r="G228"/>
  <c r="G229"/>
  <c r="G230"/>
  <c r="G231"/>
  <c r="G232"/>
  <c r="G233"/>
  <c r="G234"/>
  <c r="G235"/>
  <c r="G236"/>
  <c r="G237"/>
  <c r="G238"/>
  <c r="G239"/>
  <c r="G240"/>
  <c r="G241"/>
  <c r="E55"/>
  <c r="E59"/>
  <c r="E60"/>
  <c r="E66"/>
  <c r="E67"/>
  <c r="E68"/>
  <c r="E69"/>
  <c r="E87"/>
  <c r="E91"/>
  <c r="E92"/>
  <c r="E93"/>
  <c r="E94"/>
  <c r="E95"/>
  <c r="E122"/>
  <c r="E123"/>
  <c r="E125"/>
  <c r="E153"/>
  <c r="E154"/>
  <c r="E155"/>
  <c r="E156"/>
  <c r="E157"/>
  <c r="E184"/>
  <c r="E185"/>
  <c r="E187"/>
  <c r="E198"/>
  <c r="E199"/>
  <c r="E200"/>
  <c r="E201"/>
  <c r="E227"/>
  <c r="E228"/>
  <c r="E229"/>
  <c r="E230"/>
  <c r="E231"/>
  <c r="E232"/>
  <c r="E233"/>
  <c r="E234"/>
  <c r="E235"/>
  <c r="E236"/>
  <c r="E237"/>
  <c r="E238"/>
  <c r="E239"/>
  <c r="E240"/>
  <c r="E241"/>
  <c r="D87"/>
  <c r="D91"/>
  <c r="D92"/>
  <c r="D93"/>
  <c r="D94"/>
  <c r="D95"/>
  <c r="D97"/>
  <c r="D99"/>
  <c r="D122"/>
  <c r="D123"/>
  <c r="D125"/>
  <c r="D153"/>
  <c r="D154"/>
  <c r="D155"/>
  <c r="D156"/>
  <c r="D157"/>
  <c r="D159"/>
  <c r="D160"/>
  <c r="D179"/>
  <c r="D182"/>
  <c r="D184"/>
  <c r="D185"/>
  <c r="D187"/>
  <c r="D198"/>
  <c r="D199"/>
  <c r="D200"/>
  <c r="D201"/>
  <c r="D202"/>
  <c r="D203"/>
  <c r="D204"/>
  <c r="D210"/>
  <c r="D214"/>
  <c r="D215"/>
  <c r="D227"/>
  <c r="D228"/>
  <c r="D229"/>
  <c r="D230"/>
  <c r="D231"/>
  <c r="D232"/>
  <c r="D233"/>
  <c r="D234"/>
  <c r="D235"/>
  <c r="D236"/>
  <c r="D237"/>
  <c r="D238"/>
  <c r="D239"/>
  <c r="D240"/>
  <c r="D241"/>
  <c r="D52"/>
  <c r="D53"/>
  <c r="D54"/>
  <c r="D55"/>
  <c r="D59"/>
  <c r="D60"/>
  <c r="D64"/>
  <c r="D66"/>
  <c r="D67"/>
  <c r="D68"/>
  <c r="D69"/>
  <c r="K8"/>
  <c r="K9"/>
  <c r="K10"/>
  <c r="K14"/>
  <c r="K15"/>
  <c r="K23"/>
  <c r="K26"/>
  <c r="K27"/>
  <c r="K28"/>
  <c r="K29"/>
  <c r="K30"/>
  <c r="K31"/>
  <c r="K33"/>
  <c r="K7"/>
  <c r="J8"/>
  <c r="J9"/>
  <c r="J10"/>
  <c r="J14"/>
  <c r="J15"/>
  <c r="J23"/>
  <c r="J26"/>
  <c r="J27"/>
  <c r="J28"/>
  <c r="J29"/>
  <c r="J30"/>
  <c r="J31"/>
  <c r="J33"/>
  <c r="J7"/>
  <c r="H8"/>
  <c r="H9"/>
  <c r="H10"/>
  <c r="H14"/>
  <c r="H15"/>
  <c r="H23"/>
  <c r="H26"/>
  <c r="H27"/>
  <c r="H28"/>
  <c r="H29"/>
  <c r="H30"/>
  <c r="H31"/>
  <c r="H7"/>
  <c r="G8"/>
  <c r="G9"/>
  <c r="G10"/>
  <c r="G14"/>
  <c r="G15"/>
  <c r="G23"/>
  <c r="G26"/>
  <c r="G27"/>
  <c r="G28"/>
  <c r="G29"/>
  <c r="G30"/>
  <c r="G31"/>
  <c r="G7"/>
  <c r="E8"/>
  <c r="E9"/>
  <c r="E10"/>
  <c r="E19"/>
  <c r="E26"/>
  <c r="E28"/>
  <c r="E29"/>
  <c r="E30"/>
  <c r="E31"/>
  <c r="E7"/>
  <c r="D8"/>
  <c r="D9"/>
  <c r="D10"/>
  <c r="D14"/>
  <c r="D19"/>
  <c r="D26"/>
  <c r="D28"/>
  <c r="D29"/>
  <c r="D30"/>
  <c r="D31"/>
  <c r="D7"/>
  <c r="B222"/>
  <c r="C222"/>
  <c r="F222"/>
  <c r="I222"/>
  <c r="I183"/>
  <c r="I183" i="5" s="1"/>
  <c r="F183" i="4"/>
  <c r="F183" i="5" s="1"/>
  <c r="C183" i="4"/>
  <c r="C183" i="5" s="1"/>
  <c r="B183" i="4"/>
  <c r="B183" i="5" s="1"/>
  <c r="I181" i="4"/>
  <c r="I181" i="5" s="1"/>
  <c r="F181" i="4"/>
  <c r="F181" i="5" s="1"/>
  <c r="C181" i="4"/>
  <c r="C181" i="5" s="1"/>
  <c r="B181" i="4"/>
  <c r="B181" i="5" s="1"/>
  <c r="I180" i="4"/>
  <c r="I180" i="5" s="1"/>
  <c r="F180" i="4"/>
  <c r="C180"/>
  <c r="B180"/>
  <c r="B180" i="5" s="1"/>
  <c r="I179" i="4"/>
  <c r="I157"/>
  <c r="I157" i="5" s="1"/>
  <c r="F157" i="4"/>
  <c r="F152"/>
  <c r="C152"/>
  <c r="C152" i="5" s="1"/>
  <c r="B152" i="4"/>
  <c r="B152" i="5" s="1"/>
  <c r="I151" i="4"/>
  <c r="I151" i="5" s="1"/>
  <c r="F151" i="4"/>
  <c r="F151" i="5" s="1"/>
  <c r="C151" i="4"/>
  <c r="C151" i="5" s="1"/>
  <c r="B151" i="4"/>
  <c r="B151" i="5" s="1"/>
  <c r="I150"/>
  <c r="F150"/>
  <c r="C150"/>
  <c r="B150"/>
  <c r="I148" i="4"/>
  <c r="I148" i="5" s="1"/>
  <c r="F148" i="4"/>
  <c r="F148" i="5" s="1"/>
  <c r="C148" i="4"/>
  <c r="C148" i="5" s="1"/>
  <c r="B148" i="4"/>
  <c r="B148" i="5" s="1"/>
  <c r="I147" i="4"/>
  <c r="I147" i="5" s="1"/>
  <c r="F147" i="4"/>
  <c r="F147" i="5" s="1"/>
  <c r="C147" i="4"/>
  <c r="C147" i="5" s="1"/>
  <c r="B147" i="4"/>
  <c r="B147" i="5" s="1"/>
  <c r="I146"/>
  <c r="F146"/>
  <c r="I128" i="4"/>
  <c r="I128" i="5" s="1"/>
  <c r="F128" i="4"/>
  <c r="F128" i="5" s="1"/>
  <c r="C128" i="4"/>
  <c r="I126"/>
  <c r="I126" i="5" s="1"/>
  <c r="F126" i="4"/>
  <c r="F126" i="5" s="1"/>
  <c r="C126" i="4"/>
  <c r="C126" i="5" s="1"/>
  <c r="B126" i="4"/>
  <c r="B126" i="5" s="1"/>
  <c r="C124" i="4"/>
  <c r="B124"/>
  <c r="B124" i="5" s="1"/>
  <c r="I123"/>
  <c r="I121" i="4"/>
  <c r="I121" i="5" s="1"/>
  <c r="F121" i="4"/>
  <c r="F121" i="5" s="1"/>
  <c r="C121" i="4"/>
  <c r="C121" i="5" s="1"/>
  <c r="B121" i="4"/>
  <c r="B121" i="5" s="1"/>
  <c r="F96" i="4"/>
  <c r="C96"/>
  <c r="C89"/>
  <c r="B89"/>
  <c r="B89" i="5" s="1"/>
  <c r="F88" i="4"/>
  <c r="C88"/>
  <c r="C88" i="5" s="1"/>
  <c r="B88" i="4"/>
  <c r="B88" i="5" s="1"/>
  <c r="F86" i="4"/>
  <c r="C86"/>
  <c r="C86" i="5" s="1"/>
  <c r="B86" i="4"/>
  <c r="B86" i="5" s="1"/>
  <c r="I85" i="4"/>
  <c r="F85"/>
  <c r="F85" i="5" s="1"/>
  <c r="C85" i="4"/>
  <c r="C85" i="5" s="1"/>
  <c r="B85" i="4"/>
  <c r="B85" i="5" s="1"/>
  <c r="I61" i="4"/>
  <c r="I61" i="5" s="1"/>
  <c r="F61" i="4"/>
  <c r="F61" i="5" s="1"/>
  <c r="C61" i="4"/>
  <c r="C61" i="5" s="1"/>
  <c r="B61" i="4"/>
  <c r="B61" i="5" s="1"/>
  <c r="I58" i="4"/>
  <c r="I58" i="5" s="1"/>
  <c r="F58" i="4"/>
  <c r="F58" i="5" s="1"/>
  <c r="C58" i="4"/>
  <c r="C58" i="5" s="1"/>
  <c r="B58" i="4"/>
  <c r="B58" i="5" s="1"/>
  <c r="I56" i="4"/>
  <c r="I56" i="5" s="1"/>
  <c r="F56" i="4"/>
  <c r="F56" i="5" s="1"/>
  <c r="C56" i="4"/>
  <c r="C56" i="5" s="1"/>
  <c r="B56" i="4"/>
  <c r="B56" i="5" s="1"/>
  <c r="I51" i="4"/>
  <c r="F74"/>
  <c r="C51"/>
  <c r="B51"/>
  <c r="B51" i="5" s="1"/>
  <c r="I34" i="4"/>
  <c r="I34" i="5" s="1"/>
  <c r="F34" i="4"/>
  <c r="F34" i="5" s="1"/>
  <c r="C34" i="4"/>
  <c r="C34" i="5" s="1"/>
  <c r="B34" i="4"/>
  <c r="B34" i="5" s="1"/>
  <c r="C33" i="4"/>
  <c r="B33"/>
  <c r="B33" i="5" s="1"/>
  <c r="I32" i="4"/>
  <c r="I32" i="5" s="1"/>
  <c r="F32" i="4"/>
  <c r="F32" i="5" s="1"/>
  <c r="C32" i="4"/>
  <c r="C32" i="5" s="1"/>
  <c r="B32" i="4"/>
  <c r="B32" i="5" s="1"/>
  <c r="B27" i="4"/>
  <c r="B27" i="5" s="1"/>
  <c r="I25" i="4"/>
  <c r="I25" i="5" s="1"/>
  <c r="F25" i="4"/>
  <c r="F25" i="5" s="1"/>
  <c r="C25" i="4"/>
  <c r="C25" i="5" s="1"/>
  <c r="B25" i="4"/>
  <c r="B25" i="5" s="1"/>
  <c r="F24" i="4"/>
  <c r="C24"/>
  <c r="C24" i="5" s="1"/>
  <c r="B24" i="4"/>
  <c r="B24" i="5" s="1"/>
  <c r="B23" i="4"/>
  <c r="B23" i="5" s="1"/>
  <c r="I21" i="4"/>
  <c r="I21" i="5" s="1"/>
  <c r="F21" i="4"/>
  <c r="F21" i="5" s="1"/>
  <c r="C21" i="4"/>
  <c r="C17"/>
  <c r="C17" i="5" s="1"/>
  <c r="B17" i="4"/>
  <c r="B17" i="5" s="1"/>
  <c r="B15" i="4"/>
  <c r="B15" i="5" s="1"/>
  <c r="I13" i="4"/>
  <c r="F13"/>
  <c r="C13"/>
  <c r="B13"/>
  <c r="AY41" i="5"/>
  <c r="BI244"/>
  <c r="AY222"/>
  <c r="BI222"/>
  <c r="BJ221"/>
  <c r="BJ219"/>
  <c r="BJ218"/>
  <c r="BJ217"/>
  <c r="BJ216"/>
  <c r="BJ215"/>
  <c r="BJ214"/>
  <c r="BJ213"/>
  <c r="BJ212"/>
  <c r="BJ211"/>
  <c r="BJ210"/>
  <c r="BJ209"/>
  <c r="BJ208"/>
  <c r="BJ207"/>
  <c r="BJ206"/>
  <c r="BJ205"/>
  <c r="BJ204"/>
  <c r="BJ203"/>
  <c r="BJ202"/>
  <c r="BJ201"/>
  <c r="BJ200"/>
  <c r="BJ199"/>
  <c r="BJ198"/>
  <c r="BJ164"/>
  <c r="BJ163"/>
  <c r="BJ162"/>
  <c r="BJ161"/>
  <c r="BJ160"/>
  <c r="BJ159"/>
  <c r="BJ158"/>
  <c r="BJ157"/>
  <c r="BJ156"/>
  <c r="BJ155"/>
  <c r="BJ154"/>
  <c r="BJ153"/>
  <c r="BJ152"/>
  <c r="BJ151"/>
  <c r="BJ150"/>
  <c r="BJ149"/>
  <c r="BJ148"/>
  <c r="BJ147"/>
  <c r="BJ146"/>
  <c r="BJ132"/>
  <c r="BJ131"/>
  <c r="BJ130"/>
  <c r="BJ129"/>
  <c r="BJ127"/>
  <c r="BJ126"/>
  <c r="BJ125"/>
  <c r="BJ124"/>
  <c r="BJ123"/>
  <c r="BJ122"/>
  <c r="BJ121"/>
  <c r="BJ120"/>
  <c r="BJ108"/>
  <c r="BJ106"/>
  <c r="BJ105"/>
  <c r="BJ104"/>
  <c r="BJ103"/>
  <c r="BJ102"/>
  <c r="BJ101"/>
  <c r="BJ100"/>
  <c r="BJ99"/>
  <c r="BJ98"/>
  <c r="BJ97"/>
  <c r="BJ96"/>
  <c r="BJ95"/>
  <c r="BJ94"/>
  <c r="BJ93"/>
  <c r="BJ92"/>
  <c r="BJ90"/>
  <c r="BJ89"/>
  <c r="BJ88"/>
  <c r="BJ87"/>
  <c r="BJ86"/>
  <c r="BJ85"/>
  <c r="BJ7"/>
  <c r="BJ73"/>
  <c r="BJ72"/>
  <c r="BJ71"/>
  <c r="BJ70"/>
  <c r="BJ69"/>
  <c r="BJ68"/>
  <c r="BJ67"/>
  <c r="BJ66"/>
  <c r="BJ65"/>
  <c r="BJ60"/>
  <c r="BJ59"/>
  <c r="BJ57"/>
  <c r="BJ55"/>
  <c r="BJ53"/>
  <c r="BJ40"/>
  <c r="BJ38"/>
  <c r="BJ36"/>
  <c r="BJ35"/>
  <c r="BJ34"/>
  <c r="BJ33"/>
  <c r="BJ32"/>
  <c r="BJ31"/>
  <c r="BJ30"/>
  <c r="BJ29"/>
  <c r="BJ28"/>
  <c r="BJ27"/>
  <c r="BJ26"/>
  <c r="BJ25"/>
  <c r="BJ24"/>
  <c r="BJ23"/>
  <c r="BJ22"/>
  <c r="BJ21"/>
  <c r="BJ20"/>
  <c r="BJ19"/>
  <c r="BJ18"/>
  <c r="BJ16"/>
  <c r="BJ15"/>
  <c r="BJ14"/>
  <c r="BJ13"/>
  <c r="BJ12"/>
  <c r="BJ11"/>
  <c r="BJ10"/>
  <c r="BJ9"/>
  <c r="BJ8"/>
  <c r="BI188"/>
  <c r="BI166"/>
  <c r="BI133"/>
  <c r="BI109"/>
  <c r="BI74"/>
  <c r="BI41"/>
  <c r="BF32"/>
  <c r="BE121"/>
  <c r="BE122"/>
  <c r="BE123"/>
  <c r="BE124"/>
  <c r="BE125"/>
  <c r="BE126"/>
  <c r="BE127"/>
  <c r="BE129"/>
  <c r="BE130"/>
  <c r="BE131"/>
  <c r="BE120"/>
  <c r="BE86"/>
  <c r="BE87"/>
  <c r="BE88"/>
  <c r="BE89"/>
  <c r="BE90"/>
  <c r="BE94"/>
  <c r="BE95"/>
  <c r="BE96"/>
  <c r="BE97"/>
  <c r="BE98"/>
  <c r="BE99"/>
  <c r="BE100"/>
  <c r="BE102"/>
  <c r="BE103"/>
  <c r="BE104"/>
  <c r="BE85"/>
  <c r="BE38"/>
  <c r="BE36"/>
  <c r="BE35"/>
  <c r="BE34"/>
  <c r="BE33"/>
  <c r="BE32"/>
  <c r="BE31"/>
  <c r="BE30"/>
  <c r="BE29"/>
  <c r="BE28"/>
  <c r="BE27"/>
  <c r="BE26"/>
  <c r="BE25"/>
  <c r="BE24"/>
  <c r="BE23"/>
  <c r="BE21"/>
  <c r="BE20"/>
  <c r="BE18"/>
  <c r="BE16"/>
  <c r="BE15"/>
  <c r="BE13"/>
  <c r="BE12"/>
  <c r="BE11"/>
  <c r="BE10"/>
  <c r="BE9"/>
  <c r="BE8"/>
  <c r="BE7"/>
  <c r="BE60"/>
  <c r="BE57"/>
  <c r="BE55"/>
  <c r="BE53"/>
  <c r="BE163"/>
  <c r="BE162"/>
  <c r="BE161"/>
  <c r="BE160"/>
  <c r="BE159"/>
  <c r="BE158"/>
  <c r="BE156"/>
  <c r="BE155"/>
  <c r="BE154"/>
  <c r="BE153"/>
  <c r="BE152"/>
  <c r="BE151"/>
  <c r="BE150"/>
  <c r="BE148"/>
  <c r="BE146"/>
  <c r="BE147"/>
  <c r="BD244"/>
  <c r="BD222"/>
  <c r="BD188"/>
  <c r="BD166"/>
  <c r="BD133"/>
  <c r="AY109"/>
  <c r="BD109"/>
  <c r="BD74"/>
  <c r="BD41"/>
  <c r="AX193"/>
  <c r="AY187"/>
  <c r="BE187" s="1"/>
  <c r="AY185"/>
  <c r="BE185" s="1"/>
  <c r="AY184"/>
  <c r="BE184" s="1"/>
  <c r="AY183"/>
  <c r="BE183" s="1"/>
  <c r="AY182"/>
  <c r="BE182" s="1"/>
  <c r="AY181"/>
  <c r="BE181" s="1"/>
  <c r="AY180"/>
  <c r="BE180" s="1"/>
  <c r="AY179"/>
  <c r="BE179" s="1"/>
  <c r="AY64"/>
  <c r="BE64" s="1"/>
  <c r="AY63"/>
  <c r="BE63" s="1"/>
  <c r="AY62"/>
  <c r="BE62" s="1"/>
  <c r="AY61"/>
  <c r="BE61" s="1"/>
  <c r="AY58"/>
  <c r="BE58" s="1"/>
  <c r="AY56"/>
  <c r="BE56" s="1"/>
  <c r="AY54"/>
  <c r="BE54" s="1"/>
  <c r="AY52"/>
  <c r="BE52" s="1"/>
  <c r="AY51"/>
  <c r="BE51" s="1"/>
  <c r="AY166"/>
  <c r="AY133"/>
  <c r="AP13" i="3" l="1"/>
  <c r="AQ13" s="1"/>
  <c r="AP17"/>
  <c r="AQ17" s="1"/>
  <c r="AP12"/>
  <c r="AQ12" s="1"/>
  <c r="AP18"/>
  <c r="AQ18" s="1"/>
  <c r="BJ41" i="5"/>
  <c r="AL17" i="3"/>
  <c r="AM17" s="1"/>
  <c r="AL13"/>
  <c r="AM13" s="1"/>
  <c r="B41" i="4"/>
  <c r="B13" i="5"/>
  <c r="C41" i="4"/>
  <c r="C13" i="5"/>
  <c r="F41" i="4"/>
  <c r="F13" i="5"/>
  <c r="I41" i="4"/>
  <c r="I13" i="5"/>
  <c r="M13" s="1"/>
  <c r="E21" i="4"/>
  <c r="C21" i="5"/>
  <c r="E21" s="1"/>
  <c r="K24" i="4"/>
  <c r="F24" i="5"/>
  <c r="G24" s="1"/>
  <c r="H33" i="4"/>
  <c r="C33" i="5"/>
  <c r="E33" s="1"/>
  <c r="C74" i="4"/>
  <c r="C74" i="5" s="1"/>
  <c r="C51"/>
  <c r="D51" s="1"/>
  <c r="I74" i="4"/>
  <c r="I12" i="2" s="1"/>
  <c r="I51" i="5"/>
  <c r="M51" s="1"/>
  <c r="I109" i="4"/>
  <c r="I13" i="2" s="1"/>
  <c r="I85" i="5"/>
  <c r="M85" s="1"/>
  <c r="K86" i="4"/>
  <c r="F86" i="5"/>
  <c r="K86" s="1"/>
  <c r="K88" i="4"/>
  <c r="F88" i="5"/>
  <c r="K88" s="1"/>
  <c r="H89" i="4"/>
  <c r="C89" i="5"/>
  <c r="E89" s="1"/>
  <c r="D96" i="4"/>
  <c r="C96" i="5"/>
  <c r="D96" s="1"/>
  <c r="K96" i="4"/>
  <c r="F96" i="5"/>
  <c r="K96" s="1"/>
  <c r="H123" i="4"/>
  <c r="F123" i="5"/>
  <c r="G123" s="1"/>
  <c r="H124" i="4"/>
  <c r="C124" i="5"/>
  <c r="E124" s="1"/>
  <c r="E128" i="4"/>
  <c r="C128" i="5"/>
  <c r="E128" s="1"/>
  <c r="C166" i="4"/>
  <c r="C166" i="5" s="1"/>
  <c r="C146"/>
  <c r="E146" s="1"/>
  <c r="K152" i="4"/>
  <c r="F152" i="5"/>
  <c r="G152" s="1"/>
  <c r="H157" i="4"/>
  <c r="F157" i="5"/>
  <c r="H157" s="1"/>
  <c r="I188" i="4"/>
  <c r="I16" i="2" s="1"/>
  <c r="I179" i="5"/>
  <c r="M179" s="1"/>
  <c r="C188" i="4"/>
  <c r="C16" i="2" s="1"/>
  <c r="C180" i="5"/>
  <c r="D180" s="1"/>
  <c r="F188" i="4"/>
  <c r="F16" i="2" s="1"/>
  <c r="F180" i="5"/>
  <c r="F12" i="2"/>
  <c r="F74" i="5"/>
  <c r="F17" i="2"/>
  <c r="F222" i="5"/>
  <c r="B17" i="2"/>
  <c r="B17" i="3" s="1"/>
  <c r="B222" i="5"/>
  <c r="I17" i="2"/>
  <c r="I222" i="5"/>
  <c r="J222" s="1"/>
  <c r="C17" i="2"/>
  <c r="C222" i="5"/>
  <c r="E222" s="1"/>
  <c r="E17" i="4"/>
  <c r="K18"/>
  <c r="H21"/>
  <c r="E24"/>
  <c r="H25"/>
  <c r="E32"/>
  <c r="K32"/>
  <c r="E34"/>
  <c r="K34"/>
  <c r="E56"/>
  <c r="K56"/>
  <c r="E58"/>
  <c r="K58"/>
  <c r="E61"/>
  <c r="K61"/>
  <c r="C109"/>
  <c r="E86"/>
  <c r="C133"/>
  <c r="I133"/>
  <c r="K123"/>
  <c r="E126"/>
  <c r="K126"/>
  <c r="H128"/>
  <c r="F166"/>
  <c r="H147"/>
  <c r="H148"/>
  <c r="H150"/>
  <c r="H151"/>
  <c r="K157"/>
  <c r="H181"/>
  <c r="H183"/>
  <c r="B74"/>
  <c r="B109"/>
  <c r="B133"/>
  <c r="H18"/>
  <c r="K21"/>
  <c r="E25"/>
  <c r="K25"/>
  <c r="H32"/>
  <c r="H34"/>
  <c r="H56"/>
  <c r="H58"/>
  <c r="H61"/>
  <c r="F109"/>
  <c r="H109" s="1"/>
  <c r="E88"/>
  <c r="F133"/>
  <c r="H133" s="1"/>
  <c r="H126"/>
  <c r="K128"/>
  <c r="I166"/>
  <c r="E147"/>
  <c r="K147"/>
  <c r="E148"/>
  <c r="K148"/>
  <c r="E150"/>
  <c r="K150"/>
  <c r="E151"/>
  <c r="K151"/>
  <c r="E152"/>
  <c r="K180"/>
  <c r="E181"/>
  <c r="K181"/>
  <c r="E183"/>
  <c r="K183"/>
  <c r="E183" i="5"/>
  <c r="E181"/>
  <c r="E121"/>
  <c r="E85"/>
  <c r="E61"/>
  <c r="E56"/>
  <c r="B166" i="4"/>
  <c r="B188"/>
  <c r="E151" i="5"/>
  <c r="E126"/>
  <c r="E88"/>
  <c r="E86"/>
  <c r="E58"/>
  <c r="M157"/>
  <c r="M151"/>
  <c r="M148"/>
  <c r="N146"/>
  <c r="N126"/>
  <c r="N61"/>
  <c r="M25"/>
  <c r="D222" i="4"/>
  <c r="E152" i="5"/>
  <c r="E150"/>
  <c r="E147"/>
  <c r="E148"/>
  <c r="G214"/>
  <c r="N159"/>
  <c r="M159"/>
  <c r="N157"/>
  <c r="N155"/>
  <c r="M155"/>
  <c r="N153"/>
  <c r="M153"/>
  <c r="N148"/>
  <c r="M126"/>
  <c r="M124"/>
  <c r="N124"/>
  <c r="N99"/>
  <c r="M99"/>
  <c r="M97"/>
  <c r="N97"/>
  <c r="N95"/>
  <c r="M95"/>
  <c r="M93"/>
  <c r="N93"/>
  <c r="N91"/>
  <c r="M91"/>
  <c r="M88"/>
  <c r="N88"/>
  <c r="N86"/>
  <c r="M86"/>
  <c r="M69"/>
  <c r="N69"/>
  <c r="N67"/>
  <c r="M67"/>
  <c r="M64"/>
  <c r="N64"/>
  <c r="M59"/>
  <c r="N59"/>
  <c r="N55"/>
  <c r="M55"/>
  <c r="M53"/>
  <c r="N53"/>
  <c r="M33"/>
  <c r="N33"/>
  <c r="M31"/>
  <c r="N31"/>
  <c r="M29"/>
  <c r="N29"/>
  <c r="M27"/>
  <c r="N27"/>
  <c r="N25"/>
  <c r="M23"/>
  <c r="N23"/>
  <c r="M19"/>
  <c r="N19"/>
  <c r="M15"/>
  <c r="N15"/>
  <c r="M9"/>
  <c r="N9"/>
  <c r="E7"/>
  <c r="E31"/>
  <c r="E27"/>
  <c r="E23"/>
  <c r="E15"/>
  <c r="G203"/>
  <c r="N7"/>
  <c r="M7"/>
  <c r="M241"/>
  <c r="N241"/>
  <c r="N239"/>
  <c r="M239"/>
  <c r="M237"/>
  <c r="N237"/>
  <c r="N235"/>
  <c r="M235"/>
  <c r="M233"/>
  <c r="N233"/>
  <c r="N231"/>
  <c r="M231"/>
  <c r="M229"/>
  <c r="N229"/>
  <c r="M201"/>
  <c r="N201"/>
  <c r="M199"/>
  <c r="N199"/>
  <c r="N187"/>
  <c r="M187"/>
  <c r="M184"/>
  <c r="N184"/>
  <c r="N180"/>
  <c r="M180"/>
  <c r="M242"/>
  <c r="N242"/>
  <c r="N240"/>
  <c r="M240"/>
  <c r="M238"/>
  <c r="N238"/>
  <c r="N236"/>
  <c r="M236"/>
  <c r="M234"/>
  <c r="N234"/>
  <c r="M232"/>
  <c r="N232"/>
  <c r="M230"/>
  <c r="N230"/>
  <c r="M228"/>
  <c r="N228"/>
  <c r="M202"/>
  <c r="N202"/>
  <c r="M200"/>
  <c r="N200"/>
  <c r="M198"/>
  <c r="N198"/>
  <c r="M185"/>
  <c r="N185"/>
  <c r="N183"/>
  <c r="M183"/>
  <c r="M181"/>
  <c r="N181"/>
  <c r="N179"/>
  <c r="N160"/>
  <c r="M160"/>
  <c r="M158"/>
  <c r="N158"/>
  <c r="N156"/>
  <c r="M156"/>
  <c r="M154"/>
  <c r="N154"/>
  <c r="N152"/>
  <c r="M152"/>
  <c r="M150"/>
  <c r="N150"/>
  <c r="N147"/>
  <c r="M147"/>
  <c r="N128"/>
  <c r="M128"/>
  <c r="N125"/>
  <c r="M125"/>
  <c r="M123"/>
  <c r="N123"/>
  <c r="M121"/>
  <c r="N121"/>
  <c r="M98"/>
  <c r="N98"/>
  <c r="N96"/>
  <c r="M96"/>
  <c r="M94"/>
  <c r="N94"/>
  <c r="N92"/>
  <c r="M92"/>
  <c r="M89"/>
  <c r="N89"/>
  <c r="N87"/>
  <c r="M87"/>
  <c r="N68"/>
  <c r="M68"/>
  <c r="M66"/>
  <c r="N66"/>
  <c r="M63"/>
  <c r="N63"/>
  <c r="M60"/>
  <c r="N60"/>
  <c r="N58"/>
  <c r="M58"/>
  <c r="M56"/>
  <c r="N56"/>
  <c r="M54"/>
  <c r="N54"/>
  <c r="M52"/>
  <c r="N52"/>
  <c r="M34"/>
  <c r="N34"/>
  <c r="N32"/>
  <c r="M32"/>
  <c r="M30"/>
  <c r="N30"/>
  <c r="N28"/>
  <c r="M28"/>
  <c r="M26"/>
  <c r="N26"/>
  <c r="N24"/>
  <c r="M24"/>
  <c r="M21"/>
  <c r="N21"/>
  <c r="N17"/>
  <c r="M17"/>
  <c r="M14"/>
  <c r="N14"/>
  <c r="N10"/>
  <c r="M10"/>
  <c r="M8"/>
  <c r="N8"/>
  <c r="E29"/>
  <c r="E25"/>
  <c r="E19"/>
  <c r="E9"/>
  <c r="H222" i="4"/>
  <c r="E34" i="5"/>
  <c r="E32"/>
  <c r="E30"/>
  <c r="E28"/>
  <c r="E26"/>
  <c r="E24"/>
  <c r="E17"/>
  <c r="E14"/>
  <c r="E10"/>
  <c r="E8"/>
  <c r="G215"/>
  <c r="G210"/>
  <c r="G204"/>
  <c r="K222" i="4"/>
  <c r="H242" i="5"/>
  <c r="G242"/>
  <c r="H241"/>
  <c r="G241"/>
  <c r="H240"/>
  <c r="G240"/>
  <c r="H239"/>
  <c r="G239"/>
  <c r="H238"/>
  <c r="G238"/>
  <c r="H237"/>
  <c r="G237"/>
  <c r="H236"/>
  <c r="G236"/>
  <c r="H235"/>
  <c r="G235"/>
  <c r="H234"/>
  <c r="G234"/>
  <c r="H233"/>
  <c r="G233"/>
  <c r="H232"/>
  <c r="G232"/>
  <c r="H231"/>
  <c r="G231"/>
  <c r="H230"/>
  <c r="G230"/>
  <c r="H229"/>
  <c r="G229"/>
  <c r="H228"/>
  <c r="G228"/>
  <c r="H34"/>
  <c r="G34"/>
  <c r="H32"/>
  <c r="G32"/>
  <c r="H31"/>
  <c r="G31"/>
  <c r="H30"/>
  <c r="G30"/>
  <c r="H29"/>
  <c r="G29"/>
  <c r="H28"/>
  <c r="G28"/>
  <c r="H27"/>
  <c r="G27"/>
  <c r="H26"/>
  <c r="G26"/>
  <c r="H25"/>
  <c r="G25"/>
  <c r="H23"/>
  <c r="G23"/>
  <c r="H21"/>
  <c r="H19"/>
  <c r="G19"/>
  <c r="H17"/>
  <c r="G17"/>
  <c r="H15"/>
  <c r="G15"/>
  <c r="H14"/>
  <c r="G14"/>
  <c r="H10"/>
  <c r="G10"/>
  <c r="H9"/>
  <c r="G9"/>
  <c r="H8"/>
  <c r="G8"/>
  <c r="D7"/>
  <c r="D242"/>
  <c r="D241"/>
  <c r="D240"/>
  <c r="D239"/>
  <c r="D238"/>
  <c r="D237"/>
  <c r="D236"/>
  <c r="D235"/>
  <c r="D234"/>
  <c r="D233"/>
  <c r="D232"/>
  <c r="D231"/>
  <c r="D230"/>
  <c r="D229"/>
  <c r="D228"/>
  <c r="D201"/>
  <c r="D200"/>
  <c r="D199"/>
  <c r="D198"/>
  <c r="D187"/>
  <c r="D185"/>
  <c r="D184"/>
  <c r="D183"/>
  <c r="D181"/>
  <c r="D179"/>
  <c r="D164"/>
  <c r="D160"/>
  <c r="D159"/>
  <c r="D158"/>
  <c r="D157"/>
  <c r="D156"/>
  <c r="D155"/>
  <c r="D154"/>
  <c r="D153"/>
  <c r="D152"/>
  <c r="D151"/>
  <c r="D150"/>
  <c r="D148"/>
  <c r="D147"/>
  <c r="D126"/>
  <c r="D125"/>
  <c r="D123"/>
  <c r="D122"/>
  <c r="D121"/>
  <c r="D99"/>
  <c r="D98"/>
  <c r="D97"/>
  <c r="D95"/>
  <c r="D94"/>
  <c r="D93"/>
  <c r="D92"/>
  <c r="D91"/>
  <c r="D88"/>
  <c r="D87"/>
  <c r="D86"/>
  <c r="D85"/>
  <c r="D69"/>
  <c r="D68"/>
  <c r="D67"/>
  <c r="D66"/>
  <c r="D64"/>
  <c r="D61"/>
  <c r="D60"/>
  <c r="D59"/>
  <c r="D58"/>
  <c r="D56"/>
  <c r="D55"/>
  <c r="D54"/>
  <c r="D53"/>
  <c r="D52"/>
  <c r="D34"/>
  <c r="D32"/>
  <c r="D31"/>
  <c r="D30"/>
  <c r="D29"/>
  <c r="D28"/>
  <c r="D27"/>
  <c r="D26"/>
  <c r="D25"/>
  <c r="D24"/>
  <c r="D23"/>
  <c r="D19"/>
  <c r="D17"/>
  <c r="D15"/>
  <c r="D14"/>
  <c r="D10"/>
  <c r="D9"/>
  <c r="D8"/>
  <c r="H7"/>
  <c r="H202"/>
  <c r="H201"/>
  <c r="H200"/>
  <c r="H198"/>
  <c r="H187"/>
  <c r="H185"/>
  <c r="H184"/>
  <c r="H183"/>
  <c r="H181"/>
  <c r="H164"/>
  <c r="H158"/>
  <c r="H156"/>
  <c r="H155"/>
  <c r="H154"/>
  <c r="H153"/>
  <c r="H151"/>
  <c r="H150"/>
  <c r="H148"/>
  <c r="H147"/>
  <c r="H126"/>
  <c r="H125"/>
  <c r="H123"/>
  <c r="H122"/>
  <c r="H121"/>
  <c r="H95"/>
  <c r="H94"/>
  <c r="H93"/>
  <c r="H92"/>
  <c r="H91"/>
  <c r="H88"/>
  <c r="H87"/>
  <c r="H86"/>
  <c r="H85"/>
  <c r="H69"/>
  <c r="H68"/>
  <c r="H67"/>
  <c r="H66"/>
  <c r="H64"/>
  <c r="H61"/>
  <c r="H60"/>
  <c r="H59"/>
  <c r="H58"/>
  <c r="H56"/>
  <c r="H55"/>
  <c r="G7"/>
  <c r="G202"/>
  <c r="G201"/>
  <c r="G200"/>
  <c r="G199"/>
  <c r="G198"/>
  <c r="G187"/>
  <c r="G185"/>
  <c r="G184"/>
  <c r="G183"/>
  <c r="G182"/>
  <c r="G181"/>
  <c r="G179"/>
  <c r="G164"/>
  <c r="G160"/>
  <c r="G159"/>
  <c r="G158"/>
  <c r="G156"/>
  <c r="G155"/>
  <c r="G154"/>
  <c r="G153"/>
  <c r="G151"/>
  <c r="G150"/>
  <c r="G148"/>
  <c r="G147"/>
  <c r="G146"/>
  <c r="G126"/>
  <c r="G125"/>
  <c r="G122"/>
  <c r="G121"/>
  <c r="G99"/>
  <c r="G98"/>
  <c r="G97"/>
  <c r="G95"/>
  <c r="G94"/>
  <c r="G93"/>
  <c r="G92"/>
  <c r="G91"/>
  <c r="G87"/>
  <c r="G85"/>
  <c r="G69"/>
  <c r="G68"/>
  <c r="G67"/>
  <c r="G66"/>
  <c r="G64"/>
  <c r="G61"/>
  <c r="G60"/>
  <c r="G59"/>
  <c r="G58"/>
  <c r="G56"/>
  <c r="G55"/>
  <c r="G54"/>
  <c r="G53"/>
  <c r="G52"/>
  <c r="J216"/>
  <c r="J215"/>
  <c r="J214"/>
  <c r="J210"/>
  <c r="J205"/>
  <c r="J204"/>
  <c r="J203"/>
  <c r="K69"/>
  <c r="J69"/>
  <c r="K68"/>
  <c r="J68"/>
  <c r="K67"/>
  <c r="J67"/>
  <c r="K66"/>
  <c r="J66"/>
  <c r="K64"/>
  <c r="J64"/>
  <c r="K63"/>
  <c r="J63"/>
  <c r="K61"/>
  <c r="J61"/>
  <c r="K60"/>
  <c r="J60"/>
  <c r="K59"/>
  <c r="J59"/>
  <c r="K58"/>
  <c r="J58"/>
  <c r="J57"/>
  <c r="K56"/>
  <c r="J56"/>
  <c r="K55"/>
  <c r="J55"/>
  <c r="J54"/>
  <c r="J53"/>
  <c r="J52"/>
  <c r="K34"/>
  <c r="J34"/>
  <c r="K33"/>
  <c r="J33"/>
  <c r="K32"/>
  <c r="J32"/>
  <c r="K31"/>
  <c r="J31"/>
  <c r="K30"/>
  <c r="J30"/>
  <c r="K29"/>
  <c r="J29"/>
  <c r="K28"/>
  <c r="J28"/>
  <c r="K27"/>
  <c r="J27"/>
  <c r="K26"/>
  <c r="J26"/>
  <c r="K25"/>
  <c r="J25"/>
  <c r="K23"/>
  <c r="J23"/>
  <c r="K21"/>
  <c r="J21"/>
  <c r="K19"/>
  <c r="J19"/>
  <c r="K17"/>
  <c r="J17"/>
  <c r="K15"/>
  <c r="J15"/>
  <c r="K14"/>
  <c r="J14"/>
  <c r="K13"/>
  <c r="K10"/>
  <c r="J10"/>
  <c r="K9"/>
  <c r="J9"/>
  <c r="K8"/>
  <c r="J8"/>
  <c r="K7"/>
  <c r="K242"/>
  <c r="K241"/>
  <c r="K240"/>
  <c r="K239"/>
  <c r="K238"/>
  <c r="K237"/>
  <c r="K236"/>
  <c r="K235"/>
  <c r="K234"/>
  <c r="K233"/>
  <c r="K232"/>
  <c r="K231"/>
  <c r="K230"/>
  <c r="K229"/>
  <c r="K228"/>
  <c r="K202"/>
  <c r="K201"/>
  <c r="K200"/>
  <c r="K199"/>
  <c r="K198"/>
  <c r="K187"/>
  <c r="K185"/>
  <c r="K184"/>
  <c r="K183"/>
  <c r="K181"/>
  <c r="K164"/>
  <c r="K160"/>
  <c r="K159"/>
  <c r="K158"/>
  <c r="K156"/>
  <c r="K155"/>
  <c r="K154"/>
  <c r="K153"/>
  <c r="K151"/>
  <c r="K150"/>
  <c r="K148"/>
  <c r="K147"/>
  <c r="K146"/>
  <c r="K128"/>
  <c r="K126"/>
  <c r="K125"/>
  <c r="K124"/>
  <c r="K121"/>
  <c r="K95"/>
  <c r="K94"/>
  <c r="K93"/>
  <c r="K92"/>
  <c r="K91"/>
  <c r="K89"/>
  <c r="K87"/>
  <c r="J7"/>
  <c r="J242"/>
  <c r="J241"/>
  <c r="J240"/>
  <c r="J239"/>
  <c r="J238"/>
  <c r="J237"/>
  <c r="J236"/>
  <c r="J235"/>
  <c r="J234"/>
  <c r="J233"/>
  <c r="J232"/>
  <c r="J231"/>
  <c r="J230"/>
  <c r="J229"/>
  <c r="J228"/>
  <c r="J202"/>
  <c r="J201"/>
  <c r="J200"/>
  <c r="J199"/>
  <c r="J198"/>
  <c r="J187"/>
  <c r="J185"/>
  <c r="J184"/>
  <c r="J183"/>
  <c r="J182"/>
  <c r="J181"/>
  <c r="J164"/>
  <c r="J160"/>
  <c r="J159"/>
  <c r="J158"/>
  <c r="J156"/>
  <c r="J155"/>
  <c r="J154"/>
  <c r="J153"/>
  <c r="J151"/>
  <c r="J150"/>
  <c r="J148"/>
  <c r="J147"/>
  <c r="J146"/>
  <c r="J128"/>
  <c r="J126"/>
  <c r="J125"/>
  <c r="J124"/>
  <c r="J122"/>
  <c r="J121"/>
  <c r="J99"/>
  <c r="J98"/>
  <c r="J97"/>
  <c r="J95"/>
  <c r="J94"/>
  <c r="J93"/>
  <c r="J92"/>
  <c r="J91"/>
  <c r="J89"/>
  <c r="J87"/>
  <c r="K222"/>
  <c r="H74" i="4"/>
  <c r="D166"/>
  <c r="D34"/>
  <c r="D33"/>
  <c r="D32"/>
  <c r="D27"/>
  <c r="D25"/>
  <c r="D24"/>
  <c r="D23"/>
  <c r="D21"/>
  <c r="D17"/>
  <c r="D15"/>
  <c r="D13"/>
  <c r="E33"/>
  <c r="E27"/>
  <c r="E23"/>
  <c r="E15"/>
  <c r="E13"/>
  <c r="G34"/>
  <c r="G33"/>
  <c r="G32"/>
  <c r="G25"/>
  <c r="G24"/>
  <c r="G21"/>
  <c r="G18"/>
  <c r="G13"/>
  <c r="H24"/>
  <c r="H13"/>
  <c r="J34"/>
  <c r="J32"/>
  <c r="J25"/>
  <c r="J24"/>
  <c r="J21"/>
  <c r="J18"/>
  <c r="J13"/>
  <c r="K13"/>
  <c r="D51"/>
  <c r="D61"/>
  <c r="D58"/>
  <c r="D56"/>
  <c r="D85"/>
  <c r="D183"/>
  <c r="D181"/>
  <c r="D180"/>
  <c r="D152"/>
  <c r="D151"/>
  <c r="D148"/>
  <c r="D147"/>
  <c r="D146"/>
  <c r="D128"/>
  <c r="D126"/>
  <c r="D124"/>
  <c r="D121"/>
  <c r="D89"/>
  <c r="D88"/>
  <c r="D86"/>
  <c r="E51"/>
  <c r="E222"/>
  <c r="E180"/>
  <c r="E146"/>
  <c r="E133"/>
  <c r="E124"/>
  <c r="E121"/>
  <c r="E89"/>
  <c r="E85"/>
  <c r="G51"/>
  <c r="G222"/>
  <c r="G183"/>
  <c r="G181"/>
  <c r="G180"/>
  <c r="G157"/>
  <c r="G152"/>
  <c r="G151"/>
  <c r="G150"/>
  <c r="G148"/>
  <c r="G147"/>
  <c r="G146"/>
  <c r="G128"/>
  <c r="G126"/>
  <c r="G124"/>
  <c r="G123"/>
  <c r="G121"/>
  <c r="G96"/>
  <c r="G89"/>
  <c r="G88"/>
  <c r="G86"/>
  <c r="G85"/>
  <c r="G61"/>
  <c r="G58"/>
  <c r="G56"/>
  <c r="H51"/>
  <c r="H180"/>
  <c r="H152"/>
  <c r="H146"/>
  <c r="H121"/>
  <c r="H96"/>
  <c r="H88"/>
  <c r="H86"/>
  <c r="H85"/>
  <c r="J51"/>
  <c r="J61"/>
  <c r="J58"/>
  <c r="J56"/>
  <c r="J183"/>
  <c r="J181"/>
  <c r="J180"/>
  <c r="J179"/>
  <c r="J157"/>
  <c r="J152"/>
  <c r="J151"/>
  <c r="J150"/>
  <c r="J148"/>
  <c r="J147"/>
  <c r="J146"/>
  <c r="J128"/>
  <c r="J126"/>
  <c r="J123"/>
  <c r="J121"/>
  <c r="J96"/>
  <c r="J88"/>
  <c r="J86"/>
  <c r="J85"/>
  <c r="K51"/>
  <c r="K146"/>
  <c r="K121"/>
  <c r="K85"/>
  <c r="J222"/>
  <c r="G109"/>
  <c r="G74"/>
  <c r="F242"/>
  <c r="BJ166" i="5"/>
  <c r="BJ51"/>
  <c r="BJ52"/>
  <c r="BJ54"/>
  <c r="BJ56"/>
  <c r="BJ58"/>
  <c r="BJ61"/>
  <c r="BJ62"/>
  <c r="BJ63"/>
  <c r="BJ64"/>
  <c r="BJ179"/>
  <c r="BJ180"/>
  <c r="BJ181"/>
  <c r="BJ182"/>
  <c r="BJ183"/>
  <c r="BJ184"/>
  <c r="BJ185"/>
  <c r="BJ187"/>
  <c r="AY244"/>
  <c r="BJ244" s="1"/>
  <c r="BJ109"/>
  <c r="BJ133"/>
  <c r="AY188"/>
  <c r="BE188" s="1"/>
  <c r="AY74"/>
  <c r="BE74" s="1"/>
  <c r="BE109"/>
  <c r="BE166"/>
  <c r="BE133"/>
  <c r="BJ220"/>
  <c r="BJ222" s="1"/>
  <c r="AY190"/>
  <c r="AX187"/>
  <c r="AX185"/>
  <c r="AX184"/>
  <c r="AX183"/>
  <c r="AX182"/>
  <c r="AX181"/>
  <c r="AX180"/>
  <c r="AX179"/>
  <c r="AX64"/>
  <c r="AX63"/>
  <c r="AX62"/>
  <c r="AX61"/>
  <c r="AX58"/>
  <c r="AX51"/>
  <c r="AX56"/>
  <c r="AX54"/>
  <c r="AX52"/>
  <c r="BE41"/>
  <c r="AJ258" i="4"/>
  <c r="AL258" s="1"/>
  <c r="AO163"/>
  <c r="AO163" i="5" s="1"/>
  <c r="AZ163" s="1"/>
  <c r="AN163" i="4"/>
  <c r="AD134"/>
  <c r="AD134" i="5" s="1"/>
  <c r="AD124" i="4"/>
  <c r="AD124" i="5" s="1"/>
  <c r="AD121" i="4"/>
  <c r="AD121" i="5" s="1"/>
  <c r="AG165" i="4"/>
  <c r="AH165" s="1"/>
  <c r="AG157"/>
  <c r="AH157" s="1"/>
  <c r="AG37"/>
  <c r="AH37" s="1"/>
  <c r="AQ220" i="5"/>
  <c r="AP220"/>
  <c r="AO220"/>
  <c r="AN220"/>
  <c r="AL220"/>
  <c r="AK220"/>
  <c r="AJ220"/>
  <c r="AI220"/>
  <c r="AE220"/>
  <c r="AQ219"/>
  <c r="AP219"/>
  <c r="AO219"/>
  <c r="AZ219" s="1"/>
  <c r="AN219"/>
  <c r="AL219"/>
  <c r="AK219"/>
  <c r="AJ219"/>
  <c r="AI219"/>
  <c r="AE219"/>
  <c r="AQ218"/>
  <c r="AP218"/>
  <c r="AO218"/>
  <c r="AZ218" s="1"/>
  <c r="AN218"/>
  <c r="AL218"/>
  <c r="AK218"/>
  <c r="AJ218"/>
  <c r="AI218"/>
  <c r="AE218"/>
  <c r="AQ217"/>
  <c r="AP217"/>
  <c r="AO217"/>
  <c r="AZ217" s="1"/>
  <c r="AN217"/>
  <c r="AL217"/>
  <c r="AK217"/>
  <c r="AJ217"/>
  <c r="AI217"/>
  <c r="AE217"/>
  <c r="AQ216"/>
  <c r="AP216"/>
  <c r="AO216"/>
  <c r="AZ216" s="1"/>
  <c r="AN216"/>
  <c r="AL216"/>
  <c r="AK216"/>
  <c r="AJ216"/>
  <c r="AI216"/>
  <c r="AE216"/>
  <c r="AQ215"/>
  <c r="AP215"/>
  <c r="AO215"/>
  <c r="AZ215" s="1"/>
  <c r="AN215"/>
  <c r="AL215"/>
  <c r="AK215"/>
  <c r="AJ215"/>
  <c r="AI215"/>
  <c r="AE215"/>
  <c r="AQ214"/>
  <c r="AP214"/>
  <c r="AO214"/>
  <c r="AZ214" s="1"/>
  <c r="AN214"/>
  <c r="AL214"/>
  <c r="AK214"/>
  <c r="AJ214"/>
  <c r="AI214"/>
  <c r="AE214"/>
  <c r="AQ213"/>
  <c r="AP213"/>
  <c r="AO213"/>
  <c r="AZ213" s="1"/>
  <c r="AN213"/>
  <c r="AL213"/>
  <c r="AK213"/>
  <c r="AJ213"/>
  <c r="AI213"/>
  <c r="AE213"/>
  <c r="AQ212"/>
  <c r="AP212"/>
  <c r="AO212"/>
  <c r="AZ212" s="1"/>
  <c r="AN212"/>
  <c r="AL212"/>
  <c r="AK212"/>
  <c r="AJ212"/>
  <c r="AI212"/>
  <c r="AE212"/>
  <c r="AQ211"/>
  <c r="AP211"/>
  <c r="AO211"/>
  <c r="AZ211" s="1"/>
  <c r="AN211"/>
  <c r="AL211"/>
  <c r="AK211"/>
  <c r="AJ211"/>
  <c r="AI211"/>
  <c r="AE211"/>
  <c r="AQ210"/>
  <c r="AP210"/>
  <c r="AO210"/>
  <c r="AZ210" s="1"/>
  <c r="AN210"/>
  <c r="AL210"/>
  <c r="AK210"/>
  <c r="AJ210"/>
  <c r="AI210"/>
  <c r="AE210"/>
  <c r="AQ209"/>
  <c r="AP209"/>
  <c r="AO209"/>
  <c r="AZ209" s="1"/>
  <c r="AN209"/>
  <c r="AL209"/>
  <c r="AK209"/>
  <c r="AJ209"/>
  <c r="AI209"/>
  <c r="AE209"/>
  <c r="AQ208"/>
  <c r="AP208"/>
  <c r="AO208"/>
  <c r="AN208"/>
  <c r="AL208"/>
  <c r="AK208"/>
  <c r="AJ208"/>
  <c r="AI208"/>
  <c r="AE208"/>
  <c r="AQ207"/>
  <c r="AP207"/>
  <c r="AO207"/>
  <c r="AZ207" s="1"/>
  <c r="AN207"/>
  <c r="AL207"/>
  <c r="AK207"/>
  <c r="AJ207"/>
  <c r="AI207"/>
  <c r="AE207"/>
  <c r="AQ206"/>
  <c r="AP206"/>
  <c r="AO206"/>
  <c r="AZ206" s="1"/>
  <c r="AN206"/>
  <c r="AL206"/>
  <c r="AK206"/>
  <c r="AJ206"/>
  <c r="AI206"/>
  <c r="AE206"/>
  <c r="AQ205"/>
  <c r="AP205"/>
  <c r="AO205"/>
  <c r="AZ205" s="1"/>
  <c r="AN205"/>
  <c r="AL205"/>
  <c r="AK205"/>
  <c r="AJ205"/>
  <c r="AI205"/>
  <c r="AE205"/>
  <c r="AQ204"/>
  <c r="AP204"/>
  <c r="AO204"/>
  <c r="AZ204" s="1"/>
  <c r="AN204"/>
  <c r="AL204"/>
  <c r="AK204"/>
  <c r="AJ204"/>
  <c r="AI204"/>
  <c r="AE204"/>
  <c r="AQ203"/>
  <c r="AP203"/>
  <c r="AO203"/>
  <c r="AZ203" s="1"/>
  <c r="AN203"/>
  <c r="AL203"/>
  <c r="AK203"/>
  <c r="AJ203"/>
  <c r="AI203"/>
  <c r="AE203"/>
  <c r="AQ202"/>
  <c r="AP202"/>
  <c r="AO202"/>
  <c r="AZ202" s="1"/>
  <c r="AN202"/>
  <c r="AL202"/>
  <c r="AK202"/>
  <c r="AJ202"/>
  <c r="AI202"/>
  <c r="AE202"/>
  <c r="AQ201"/>
  <c r="AP201"/>
  <c r="AO201"/>
  <c r="AZ201" s="1"/>
  <c r="AN201"/>
  <c r="AM201"/>
  <c r="AL201"/>
  <c r="AK201"/>
  <c r="AJ201"/>
  <c r="AI201"/>
  <c r="AE201"/>
  <c r="AQ200"/>
  <c r="AP200"/>
  <c r="AO200"/>
  <c r="AZ200" s="1"/>
  <c r="AN200"/>
  <c r="AL200"/>
  <c r="AK200"/>
  <c r="AJ200"/>
  <c r="AI200"/>
  <c r="AE200"/>
  <c r="AQ199"/>
  <c r="AP199"/>
  <c r="AO199"/>
  <c r="AZ199" s="1"/>
  <c r="AN199"/>
  <c r="AL199"/>
  <c r="AK199"/>
  <c r="AJ199"/>
  <c r="AI199"/>
  <c r="AE199"/>
  <c r="AQ198"/>
  <c r="AP198"/>
  <c r="AO198"/>
  <c r="AZ198" s="1"/>
  <c r="AN198"/>
  <c r="AL198"/>
  <c r="AK198"/>
  <c r="AJ198"/>
  <c r="AI198"/>
  <c r="AQ187"/>
  <c r="AP187"/>
  <c r="AO187"/>
  <c r="AZ187" s="1"/>
  <c r="AN187"/>
  <c r="AL187"/>
  <c r="AK187"/>
  <c r="AE187"/>
  <c r="AQ185"/>
  <c r="AP185"/>
  <c r="AO185"/>
  <c r="AZ185" s="1"/>
  <c r="AN185"/>
  <c r="AL185"/>
  <c r="AK185"/>
  <c r="AE185"/>
  <c r="AQ184"/>
  <c r="AP184"/>
  <c r="AO184"/>
  <c r="AZ184" s="1"/>
  <c r="AN184"/>
  <c r="AL184"/>
  <c r="AK184"/>
  <c r="AE184"/>
  <c r="AQ183"/>
  <c r="AO183"/>
  <c r="AZ183" s="1"/>
  <c r="AN183"/>
  <c r="AL183"/>
  <c r="AK183"/>
  <c r="AE183"/>
  <c r="AP182"/>
  <c r="AO182"/>
  <c r="AZ182" s="1"/>
  <c r="AN182"/>
  <c r="AL182"/>
  <c r="AK182"/>
  <c r="AE182"/>
  <c r="AO181"/>
  <c r="AZ181" s="1"/>
  <c r="AN181"/>
  <c r="AL181"/>
  <c r="AK181"/>
  <c r="AE181"/>
  <c r="AR180"/>
  <c r="AQ180"/>
  <c r="AO180"/>
  <c r="AZ180" s="1"/>
  <c r="AN180"/>
  <c r="AL180"/>
  <c r="AK180"/>
  <c r="AQ179"/>
  <c r="AO179"/>
  <c r="AZ179" s="1"/>
  <c r="AN179"/>
  <c r="AL179"/>
  <c r="AK179"/>
  <c r="AE179"/>
  <c r="AS164"/>
  <c r="AR164"/>
  <c r="AQ164"/>
  <c r="AP164"/>
  <c r="AO164"/>
  <c r="AN164"/>
  <c r="AL164"/>
  <c r="AK164"/>
  <c r="AJ164"/>
  <c r="AI164"/>
  <c r="AE164"/>
  <c r="AQ163"/>
  <c r="AP163"/>
  <c r="AN163"/>
  <c r="AL163"/>
  <c r="AK163"/>
  <c r="AQ162"/>
  <c r="AP162"/>
  <c r="AO162"/>
  <c r="AZ162" s="1"/>
  <c r="AN162"/>
  <c r="AL162"/>
  <c r="AK162"/>
  <c r="AE162"/>
  <c r="AP161"/>
  <c r="AO161"/>
  <c r="AZ161" s="1"/>
  <c r="AN161"/>
  <c r="AL161"/>
  <c r="AK161"/>
  <c r="AE161"/>
  <c r="AQ160"/>
  <c r="AP160"/>
  <c r="AO160"/>
  <c r="AZ160" s="1"/>
  <c r="AN160"/>
  <c r="AL160"/>
  <c r="AK160"/>
  <c r="AJ160"/>
  <c r="AI160"/>
  <c r="AE160"/>
  <c r="AQ159"/>
  <c r="AP159"/>
  <c r="AO159"/>
  <c r="AZ159" s="1"/>
  <c r="AN159"/>
  <c r="AL159"/>
  <c r="AK159"/>
  <c r="AJ159"/>
  <c r="AI159"/>
  <c r="AE159"/>
  <c r="AQ158"/>
  <c r="AP158"/>
  <c r="AO158"/>
  <c r="AZ158" s="1"/>
  <c r="AN158"/>
  <c r="AL158"/>
  <c r="AK158"/>
  <c r="AJ158"/>
  <c r="AI158"/>
  <c r="AE158"/>
  <c r="AS157"/>
  <c r="AR157"/>
  <c r="AQ157"/>
  <c r="AP157"/>
  <c r="AO157"/>
  <c r="AZ157" s="1"/>
  <c r="AN157"/>
  <c r="AL157"/>
  <c r="AK157"/>
  <c r="AJ157"/>
  <c r="AI157"/>
  <c r="AE157"/>
  <c r="AQ156"/>
  <c r="AP156"/>
  <c r="AO156"/>
  <c r="AZ156" s="1"/>
  <c r="AN156"/>
  <c r="AL156"/>
  <c r="AK156"/>
  <c r="AE156"/>
  <c r="AP155"/>
  <c r="AO155"/>
  <c r="AZ155" s="1"/>
  <c r="AN155"/>
  <c r="AL155"/>
  <c r="AK155"/>
  <c r="AE155"/>
  <c r="AQ154"/>
  <c r="AP154"/>
  <c r="AO154"/>
  <c r="AZ154" s="1"/>
  <c r="AN154"/>
  <c r="AL154"/>
  <c r="AK154"/>
  <c r="AE154"/>
  <c r="AQ153"/>
  <c r="AP153"/>
  <c r="AO153"/>
  <c r="AZ153" s="1"/>
  <c r="AN153"/>
  <c r="AL153"/>
  <c r="AK153"/>
  <c r="AE153"/>
  <c r="AP152"/>
  <c r="AO152"/>
  <c r="AZ152" s="1"/>
  <c r="AN152"/>
  <c r="AL152"/>
  <c r="AK152"/>
  <c r="AE152"/>
  <c r="AP151"/>
  <c r="AO151"/>
  <c r="AZ151" s="1"/>
  <c r="AN151"/>
  <c r="AL151"/>
  <c r="AK151"/>
  <c r="AE151"/>
  <c r="AR150"/>
  <c r="AQ150"/>
  <c r="AP150"/>
  <c r="AO150"/>
  <c r="AZ150" s="1"/>
  <c r="AN150"/>
  <c r="AL150"/>
  <c r="AK150"/>
  <c r="AE150"/>
  <c r="AS149"/>
  <c r="AR149"/>
  <c r="AQ149"/>
  <c r="AP149"/>
  <c r="AO149"/>
  <c r="AZ149" s="1"/>
  <c r="AN149"/>
  <c r="AL149"/>
  <c r="AK149"/>
  <c r="AJ149"/>
  <c r="AI149"/>
  <c r="AE149"/>
  <c r="AQ148"/>
  <c r="AP148"/>
  <c r="AO148"/>
  <c r="AZ148" s="1"/>
  <c r="AN148"/>
  <c r="AL148"/>
  <c r="AK148"/>
  <c r="AE148"/>
  <c r="AQ147"/>
  <c r="AP147"/>
  <c r="AO147"/>
  <c r="AZ147" s="1"/>
  <c r="AN147"/>
  <c r="AL147"/>
  <c r="AK147"/>
  <c r="AE147"/>
  <c r="AQ146"/>
  <c r="AP146"/>
  <c r="AO146"/>
  <c r="AZ146" s="1"/>
  <c r="AN146"/>
  <c r="AL146"/>
  <c r="AK146"/>
  <c r="AE146"/>
  <c r="AS132"/>
  <c r="AR132"/>
  <c r="AQ132"/>
  <c r="AP132"/>
  <c r="AO132"/>
  <c r="AN132"/>
  <c r="AL132"/>
  <c r="AK132"/>
  <c r="AJ132"/>
  <c r="AI132"/>
  <c r="AE132"/>
  <c r="AS131"/>
  <c r="AR131"/>
  <c r="AQ131"/>
  <c r="AP131"/>
  <c r="AO131"/>
  <c r="AZ131" s="1"/>
  <c r="AN131"/>
  <c r="AL131"/>
  <c r="AK131"/>
  <c r="AE131"/>
  <c r="AS130"/>
  <c r="AR130"/>
  <c r="AQ130"/>
  <c r="AP130"/>
  <c r="AO130"/>
  <c r="AZ130" s="1"/>
  <c r="AN130"/>
  <c r="AL130"/>
  <c r="AK130"/>
  <c r="AE130"/>
  <c r="AQ129"/>
  <c r="AP129"/>
  <c r="AO129"/>
  <c r="AZ129" s="1"/>
  <c r="AN129"/>
  <c r="AL129"/>
  <c r="AK129"/>
  <c r="AE129"/>
  <c r="AS127"/>
  <c r="AR127"/>
  <c r="AQ127"/>
  <c r="AP127"/>
  <c r="AO127"/>
  <c r="AZ127" s="1"/>
  <c r="AN127"/>
  <c r="AL127"/>
  <c r="AK127"/>
  <c r="AJ127"/>
  <c r="AI127"/>
  <c r="AE127"/>
  <c r="AP126"/>
  <c r="AO126"/>
  <c r="AZ126" s="1"/>
  <c r="AN126"/>
  <c r="AL126"/>
  <c r="AK126"/>
  <c r="AE126"/>
  <c r="AS125"/>
  <c r="AR125"/>
  <c r="AQ125"/>
  <c r="AP125"/>
  <c r="AO125"/>
  <c r="AZ125" s="1"/>
  <c r="AN125"/>
  <c r="AL125"/>
  <c r="AK125"/>
  <c r="AJ125"/>
  <c r="AI125"/>
  <c r="AE125"/>
  <c r="AS124"/>
  <c r="AR124"/>
  <c r="AQ124"/>
  <c r="AP124"/>
  <c r="AO124"/>
  <c r="AZ124" s="1"/>
  <c r="AN124"/>
  <c r="AL124"/>
  <c r="AK124"/>
  <c r="AE124"/>
  <c r="AS123"/>
  <c r="AR123"/>
  <c r="AQ123"/>
  <c r="AP123"/>
  <c r="AO123"/>
  <c r="AZ123" s="1"/>
  <c r="AN123"/>
  <c r="AL123"/>
  <c r="AK123"/>
  <c r="AE123"/>
  <c r="AS122"/>
  <c r="AR122"/>
  <c r="AQ122"/>
  <c r="AP122"/>
  <c r="AO122"/>
  <c r="AZ122" s="1"/>
  <c r="AN122"/>
  <c r="AL122"/>
  <c r="AK122"/>
  <c r="AJ122"/>
  <c r="AI122"/>
  <c r="AE122"/>
  <c r="AS121"/>
  <c r="AR121"/>
  <c r="AQ121"/>
  <c r="AP121"/>
  <c r="AO121"/>
  <c r="AZ121" s="1"/>
  <c r="AN121"/>
  <c r="AL121"/>
  <c r="AK121"/>
  <c r="AE121"/>
  <c r="AQ120"/>
  <c r="AP120"/>
  <c r="AO120"/>
  <c r="AZ120" s="1"/>
  <c r="AN120"/>
  <c r="AL120"/>
  <c r="AK120"/>
  <c r="AJ120"/>
  <c r="AI120"/>
  <c r="AE120"/>
  <c r="AQ108"/>
  <c r="AP108"/>
  <c r="AO108"/>
  <c r="AN108"/>
  <c r="AL108"/>
  <c r="AK108"/>
  <c r="AJ108"/>
  <c r="AI108"/>
  <c r="AE108"/>
  <c r="AQ105"/>
  <c r="AP105"/>
  <c r="AO105"/>
  <c r="AZ105" s="1"/>
  <c r="AN105"/>
  <c r="AL105"/>
  <c r="AK105"/>
  <c r="AE105"/>
  <c r="AQ104"/>
  <c r="AP104"/>
  <c r="AO104"/>
  <c r="AZ104" s="1"/>
  <c r="AN104"/>
  <c r="AL104"/>
  <c r="AK104"/>
  <c r="AE104"/>
  <c r="AQ103"/>
  <c r="AP103"/>
  <c r="AO103"/>
  <c r="AZ103" s="1"/>
  <c r="AN103"/>
  <c r="AL103"/>
  <c r="AK103"/>
  <c r="AJ103"/>
  <c r="AI103"/>
  <c r="AE103"/>
  <c r="AQ102"/>
  <c r="AP102"/>
  <c r="AO102"/>
  <c r="AZ102" s="1"/>
  <c r="AN102"/>
  <c r="AL102"/>
  <c r="AK102"/>
  <c r="AJ102"/>
  <c r="AI102"/>
  <c r="AE102"/>
  <c r="AQ101"/>
  <c r="AP101"/>
  <c r="AO101"/>
  <c r="AZ101" s="1"/>
  <c r="AN101"/>
  <c r="AL101"/>
  <c r="AK101"/>
  <c r="AJ101"/>
  <c r="AI101"/>
  <c r="AE101"/>
  <c r="AQ100"/>
  <c r="AP100"/>
  <c r="AO100"/>
  <c r="AZ100" s="1"/>
  <c r="AN100"/>
  <c r="AL100"/>
  <c r="AK100"/>
  <c r="AJ100"/>
  <c r="AI100"/>
  <c r="AE100"/>
  <c r="AQ99"/>
  <c r="AP99"/>
  <c r="AO99"/>
  <c r="AZ99" s="1"/>
  <c r="AN99"/>
  <c r="AL99"/>
  <c r="AK99"/>
  <c r="AJ99"/>
  <c r="AI99"/>
  <c r="AE99"/>
  <c r="AQ98"/>
  <c r="AP98"/>
  <c r="AO98"/>
  <c r="AZ98" s="1"/>
  <c r="AN98"/>
  <c r="AL98"/>
  <c r="AK98"/>
  <c r="AE98"/>
  <c r="AQ97"/>
  <c r="AP97"/>
  <c r="AO97"/>
  <c r="AZ97" s="1"/>
  <c r="AN97"/>
  <c r="AL97"/>
  <c r="AK97"/>
  <c r="AJ97"/>
  <c r="AI97"/>
  <c r="AE97"/>
  <c r="AQ96"/>
  <c r="AP96"/>
  <c r="AO96"/>
  <c r="AZ96" s="1"/>
  <c r="AN96"/>
  <c r="AL96"/>
  <c r="AK96"/>
  <c r="AE96"/>
  <c r="AQ95"/>
  <c r="AP95"/>
  <c r="AO95"/>
  <c r="AZ95" s="1"/>
  <c r="AN95"/>
  <c r="AL95"/>
  <c r="AK95"/>
  <c r="AJ95"/>
  <c r="AI95"/>
  <c r="AE95"/>
  <c r="AQ94"/>
  <c r="AP94"/>
  <c r="AO94"/>
  <c r="AZ94" s="1"/>
  <c r="AN94"/>
  <c r="AL94"/>
  <c r="AK94"/>
  <c r="AJ94"/>
  <c r="AI94"/>
  <c r="AE94"/>
  <c r="AQ93"/>
  <c r="AP93"/>
  <c r="AO93"/>
  <c r="AZ93" s="1"/>
  <c r="AN93"/>
  <c r="AL93"/>
  <c r="AK93"/>
  <c r="AJ93"/>
  <c r="AI93"/>
  <c r="AE93"/>
  <c r="AQ92"/>
  <c r="AP92"/>
  <c r="AO92"/>
  <c r="AZ92" s="1"/>
  <c r="AN92"/>
  <c r="AL92"/>
  <c r="AK92"/>
  <c r="AJ92"/>
  <c r="AI92"/>
  <c r="AE92"/>
  <c r="AQ90"/>
  <c r="AP90"/>
  <c r="AO90"/>
  <c r="AZ90" s="1"/>
  <c r="AN90"/>
  <c r="AL90"/>
  <c r="AK90"/>
  <c r="AE90"/>
  <c r="AQ89"/>
  <c r="AP89"/>
  <c r="AO89"/>
  <c r="AZ89" s="1"/>
  <c r="AN89"/>
  <c r="AL89"/>
  <c r="AK89"/>
  <c r="AJ89"/>
  <c r="AI89"/>
  <c r="AE89"/>
  <c r="AQ88"/>
  <c r="AP88"/>
  <c r="AO88"/>
  <c r="AZ88" s="1"/>
  <c r="AN88"/>
  <c r="AL88"/>
  <c r="AK88"/>
  <c r="AJ88"/>
  <c r="AI88"/>
  <c r="AE88"/>
  <c r="AQ87"/>
  <c r="AP87"/>
  <c r="AO87"/>
  <c r="AZ87" s="1"/>
  <c r="AN87"/>
  <c r="AL87"/>
  <c r="AK87"/>
  <c r="AJ87"/>
  <c r="AI87"/>
  <c r="AE87"/>
  <c r="AQ86"/>
  <c r="AP86"/>
  <c r="AO86"/>
  <c r="AZ86" s="1"/>
  <c r="AN86"/>
  <c r="AL86"/>
  <c r="AK86"/>
  <c r="AJ86"/>
  <c r="AI86"/>
  <c r="AE86"/>
  <c r="AQ85"/>
  <c r="AP85"/>
  <c r="AO85"/>
  <c r="AZ85" s="1"/>
  <c r="AN85"/>
  <c r="AL85"/>
  <c r="AK85"/>
  <c r="AJ85"/>
  <c r="AI85"/>
  <c r="AE85"/>
  <c r="AQ73"/>
  <c r="AP73"/>
  <c r="AO73"/>
  <c r="AZ73" s="1"/>
  <c r="AN73"/>
  <c r="AL73"/>
  <c r="AK73"/>
  <c r="AE73"/>
  <c r="AQ72"/>
  <c r="AP72"/>
  <c r="AO72"/>
  <c r="AZ72" s="1"/>
  <c r="AN72"/>
  <c r="AL72"/>
  <c r="AK72"/>
  <c r="AJ72"/>
  <c r="AI72"/>
  <c r="AE72"/>
  <c r="AQ71"/>
  <c r="AP71"/>
  <c r="AO71"/>
  <c r="AZ71" s="1"/>
  <c r="AN71"/>
  <c r="AL71"/>
  <c r="AK71"/>
  <c r="AE71"/>
  <c r="AQ70"/>
  <c r="AP70"/>
  <c r="AO70"/>
  <c r="AZ70" s="1"/>
  <c r="AN70"/>
  <c r="AL70"/>
  <c r="AK70"/>
  <c r="AJ70"/>
  <c r="AI70"/>
  <c r="AE70"/>
  <c r="AQ69"/>
  <c r="AP69"/>
  <c r="AO69"/>
  <c r="AZ69" s="1"/>
  <c r="AN69"/>
  <c r="AL69"/>
  <c r="AK69"/>
  <c r="AE69"/>
  <c r="AQ68"/>
  <c r="AP68"/>
  <c r="AO68"/>
  <c r="AZ68" s="1"/>
  <c r="AN68"/>
  <c r="AL68"/>
  <c r="AK68"/>
  <c r="AE68"/>
  <c r="AQ67"/>
  <c r="AP67"/>
  <c r="AO67"/>
  <c r="AZ67" s="1"/>
  <c r="AN67"/>
  <c r="AL67"/>
  <c r="AK67"/>
  <c r="AE67"/>
  <c r="AQ66"/>
  <c r="AP66"/>
  <c r="AO66"/>
  <c r="AZ66" s="1"/>
  <c r="AN66"/>
  <c r="AL66"/>
  <c r="AK66"/>
  <c r="AE66"/>
  <c r="AQ65"/>
  <c r="AP65"/>
  <c r="AO65"/>
  <c r="AZ65" s="1"/>
  <c r="AN65"/>
  <c r="AL65"/>
  <c r="AK65"/>
  <c r="AJ65"/>
  <c r="AI65"/>
  <c r="AE65"/>
  <c r="AQ64"/>
  <c r="AP64"/>
  <c r="AO64"/>
  <c r="AZ64" s="1"/>
  <c r="AN64"/>
  <c r="AL64"/>
  <c r="AK64"/>
  <c r="AE64"/>
  <c r="AQ63"/>
  <c r="AP63"/>
  <c r="AO63"/>
  <c r="AZ63" s="1"/>
  <c r="AN63"/>
  <c r="AL63"/>
  <c r="AK63"/>
  <c r="AE63"/>
  <c r="AQ62"/>
  <c r="AP62"/>
  <c r="AO62"/>
  <c r="AZ62" s="1"/>
  <c r="AN62"/>
  <c r="AL62"/>
  <c r="AK62"/>
  <c r="AE62"/>
  <c r="AQ61"/>
  <c r="AP61"/>
  <c r="AO61"/>
  <c r="AZ61" s="1"/>
  <c r="AN61"/>
  <c r="AL61"/>
  <c r="AK61"/>
  <c r="AE61"/>
  <c r="AQ60"/>
  <c r="AP60"/>
  <c r="AO60"/>
  <c r="AZ60" s="1"/>
  <c r="AN60"/>
  <c r="AL60"/>
  <c r="AK60"/>
  <c r="AE60"/>
  <c r="AQ59"/>
  <c r="AP59"/>
  <c r="AO59"/>
  <c r="AZ59" s="1"/>
  <c r="AN59"/>
  <c r="AM59"/>
  <c r="AL59"/>
  <c r="AK59"/>
  <c r="AJ59"/>
  <c r="AI59"/>
  <c r="AE59"/>
  <c r="AQ58"/>
  <c r="AP58"/>
  <c r="AO58"/>
  <c r="AZ58" s="1"/>
  <c r="AN58"/>
  <c r="AL58"/>
  <c r="AK58"/>
  <c r="AE58"/>
  <c r="AQ57"/>
  <c r="AP57"/>
  <c r="AO57"/>
  <c r="AZ57" s="1"/>
  <c r="AN57"/>
  <c r="AL57"/>
  <c r="AK57"/>
  <c r="AE57"/>
  <c r="AQ56"/>
  <c r="AP56"/>
  <c r="AO56"/>
  <c r="AZ56" s="1"/>
  <c r="AN56"/>
  <c r="AL56"/>
  <c r="AK56"/>
  <c r="AE56"/>
  <c r="AQ55"/>
  <c r="AP55"/>
  <c r="AO55"/>
  <c r="AZ55" s="1"/>
  <c r="AN55"/>
  <c r="AL55"/>
  <c r="AK55"/>
  <c r="AE55"/>
  <c r="AQ54"/>
  <c r="AP54"/>
  <c r="AO54"/>
  <c r="AZ54" s="1"/>
  <c r="AN54"/>
  <c r="AL54"/>
  <c r="AK54"/>
  <c r="AE54"/>
  <c r="AQ53"/>
  <c r="AP53"/>
  <c r="AO53"/>
  <c r="AZ53" s="1"/>
  <c r="AN53"/>
  <c r="AL53"/>
  <c r="AK53"/>
  <c r="AE53"/>
  <c r="AQ52"/>
  <c r="AP52"/>
  <c r="AO52"/>
  <c r="AZ52" s="1"/>
  <c r="AN52"/>
  <c r="AL52"/>
  <c r="AK52"/>
  <c r="AE52"/>
  <c r="AQ51"/>
  <c r="AP51"/>
  <c r="AO51"/>
  <c r="AZ51" s="1"/>
  <c r="AN51"/>
  <c r="AL51"/>
  <c r="AK51"/>
  <c r="AQ38"/>
  <c r="AP38"/>
  <c r="AO38"/>
  <c r="AZ38" s="1"/>
  <c r="AN38"/>
  <c r="AL38"/>
  <c r="AK38"/>
  <c r="AJ38"/>
  <c r="AI38"/>
  <c r="AE38"/>
  <c r="AS36"/>
  <c r="AR36"/>
  <c r="AQ36"/>
  <c r="AP36"/>
  <c r="AO36"/>
  <c r="AZ36" s="1"/>
  <c r="AN36"/>
  <c r="AM36"/>
  <c r="AL36"/>
  <c r="AK36"/>
  <c r="AJ36"/>
  <c r="AI36"/>
  <c r="AE36"/>
  <c r="AQ35"/>
  <c r="AP35"/>
  <c r="AO35"/>
  <c r="AZ35" s="1"/>
  <c r="AN35"/>
  <c r="AL35"/>
  <c r="AK35"/>
  <c r="AJ35"/>
  <c r="AI35"/>
  <c r="AE35"/>
  <c r="AQ34"/>
  <c r="AP34"/>
  <c r="AO34"/>
  <c r="AZ34" s="1"/>
  <c r="AN34"/>
  <c r="AL34"/>
  <c r="AK34"/>
  <c r="AJ34"/>
  <c r="AI34"/>
  <c r="AE34"/>
  <c r="AQ33"/>
  <c r="AP33"/>
  <c r="AO33"/>
  <c r="AZ33" s="1"/>
  <c r="AN33"/>
  <c r="AL33"/>
  <c r="AK33"/>
  <c r="AJ33"/>
  <c r="AI33"/>
  <c r="AE33"/>
  <c r="AQ32"/>
  <c r="AP32"/>
  <c r="AO32"/>
  <c r="AZ32" s="1"/>
  <c r="AN32"/>
  <c r="AL32"/>
  <c r="AK32"/>
  <c r="AE32"/>
  <c r="AQ31"/>
  <c r="AP31"/>
  <c r="AO31"/>
  <c r="AZ31" s="1"/>
  <c r="AN31"/>
  <c r="AL31"/>
  <c r="AK31"/>
  <c r="AJ31"/>
  <c r="AI31"/>
  <c r="AE31"/>
  <c r="AQ30"/>
  <c r="AP30"/>
  <c r="AO30"/>
  <c r="AZ30" s="1"/>
  <c r="AN30"/>
  <c r="AL30"/>
  <c r="AK30"/>
  <c r="AJ30"/>
  <c r="AI30"/>
  <c r="AE30"/>
  <c r="AQ29"/>
  <c r="AP29"/>
  <c r="AO29"/>
  <c r="AZ29" s="1"/>
  <c r="AN29"/>
  <c r="AL29"/>
  <c r="AK29"/>
  <c r="AJ29"/>
  <c r="AI29"/>
  <c r="AE29"/>
  <c r="AQ28"/>
  <c r="AP28"/>
  <c r="AO28"/>
  <c r="AZ28" s="1"/>
  <c r="AN28"/>
  <c r="AL28"/>
  <c r="AK28"/>
  <c r="AJ28"/>
  <c r="AI28"/>
  <c r="AE28"/>
  <c r="AQ27"/>
  <c r="AP27"/>
  <c r="AO27"/>
  <c r="AZ27" s="1"/>
  <c r="AN27"/>
  <c r="AL27"/>
  <c r="AK27"/>
  <c r="AJ27"/>
  <c r="AI27"/>
  <c r="AE27"/>
  <c r="AQ26"/>
  <c r="AP26"/>
  <c r="AO26"/>
  <c r="AZ26" s="1"/>
  <c r="AN26"/>
  <c r="AL26"/>
  <c r="AK26"/>
  <c r="AJ26"/>
  <c r="AI26"/>
  <c r="AE26"/>
  <c r="AQ25"/>
  <c r="AP25"/>
  <c r="AO25"/>
  <c r="AZ25" s="1"/>
  <c r="AN25"/>
  <c r="AL25"/>
  <c r="AK25"/>
  <c r="AE25"/>
  <c r="AQ24"/>
  <c r="AP24"/>
  <c r="AO24"/>
  <c r="AZ24" s="1"/>
  <c r="AN24"/>
  <c r="AL24"/>
  <c r="AK24"/>
  <c r="AJ24"/>
  <c r="AI24"/>
  <c r="AE24"/>
  <c r="AQ23"/>
  <c r="AP23"/>
  <c r="AO23"/>
  <c r="AZ23" s="1"/>
  <c r="AN23"/>
  <c r="AL23"/>
  <c r="AK23"/>
  <c r="AJ23"/>
  <c r="AI23"/>
  <c r="AE23"/>
  <c r="AQ22"/>
  <c r="AP22"/>
  <c r="AO22"/>
  <c r="AZ22" s="1"/>
  <c r="AN22"/>
  <c r="AL22"/>
  <c r="AK22"/>
  <c r="AJ22"/>
  <c r="AI22"/>
  <c r="AE22"/>
  <c r="AQ21"/>
  <c r="AP21"/>
  <c r="AO21"/>
  <c r="AZ21" s="1"/>
  <c r="AN21"/>
  <c r="AL21"/>
  <c r="AK21"/>
  <c r="AJ21"/>
  <c r="AI21"/>
  <c r="AE21"/>
  <c r="AQ20"/>
  <c r="AP20"/>
  <c r="AO20"/>
  <c r="AZ20" s="1"/>
  <c r="AN20"/>
  <c r="AL20"/>
  <c r="AK20"/>
  <c r="AE20"/>
  <c r="AQ19"/>
  <c r="AP19"/>
  <c r="AO19"/>
  <c r="AZ19" s="1"/>
  <c r="AN19"/>
  <c r="AM19"/>
  <c r="AL19"/>
  <c r="AK19"/>
  <c r="AJ19"/>
  <c r="AI19"/>
  <c r="AE19"/>
  <c r="AQ18"/>
  <c r="AP18"/>
  <c r="AO18"/>
  <c r="AZ18" s="1"/>
  <c r="AN18"/>
  <c r="AL18"/>
  <c r="AK18"/>
  <c r="AE18"/>
  <c r="AQ16"/>
  <c r="AP16"/>
  <c r="AO16"/>
  <c r="AZ16" s="1"/>
  <c r="AN16"/>
  <c r="AL16"/>
  <c r="AK16"/>
  <c r="AJ16"/>
  <c r="AI16"/>
  <c r="AE16"/>
  <c r="AQ15"/>
  <c r="AP15"/>
  <c r="AO15"/>
  <c r="AZ15" s="1"/>
  <c r="AN15"/>
  <c r="AL15"/>
  <c r="AK15"/>
  <c r="AJ15"/>
  <c r="AI15"/>
  <c r="AE15"/>
  <c r="AQ14"/>
  <c r="AP14"/>
  <c r="AO14"/>
  <c r="AZ14" s="1"/>
  <c r="AN14"/>
  <c r="AM14"/>
  <c r="AL14"/>
  <c r="AK14"/>
  <c r="AJ14"/>
  <c r="AI14"/>
  <c r="AE14"/>
  <c r="AQ13"/>
  <c r="AP13"/>
  <c r="AO13"/>
  <c r="AZ13" s="1"/>
  <c r="AN13"/>
  <c r="AL13"/>
  <c r="AK13"/>
  <c r="AE13"/>
  <c r="AQ12"/>
  <c r="AP12"/>
  <c r="AO12"/>
  <c r="AZ12" s="1"/>
  <c r="AN12"/>
  <c r="AL12"/>
  <c r="AK12"/>
  <c r="AJ12"/>
  <c r="AI12"/>
  <c r="AE12"/>
  <c r="AQ11"/>
  <c r="AP11"/>
  <c r="AO11"/>
  <c r="AZ11" s="1"/>
  <c r="AN11"/>
  <c r="AL11"/>
  <c r="AK11"/>
  <c r="AE11"/>
  <c r="AQ10"/>
  <c r="AP10"/>
  <c r="AO10"/>
  <c r="AZ10" s="1"/>
  <c r="AN10"/>
  <c r="AL10"/>
  <c r="AK10"/>
  <c r="AE10"/>
  <c r="AQ9"/>
  <c r="AP9"/>
  <c r="AO9"/>
  <c r="AZ9" s="1"/>
  <c r="AN9"/>
  <c r="AL9"/>
  <c r="AK9"/>
  <c r="AE9"/>
  <c r="AQ8"/>
  <c r="AP8"/>
  <c r="AO8"/>
  <c r="AZ8" s="1"/>
  <c r="AN8"/>
  <c r="AL8"/>
  <c r="AK8"/>
  <c r="AE8"/>
  <c r="AQ7"/>
  <c r="AP7"/>
  <c r="AO7"/>
  <c r="AN7"/>
  <c r="AL7"/>
  <c r="AK7"/>
  <c r="AE7"/>
  <c r="AB220"/>
  <c r="AC220" s="1"/>
  <c r="AB219"/>
  <c r="AC219" s="1"/>
  <c r="AB218"/>
  <c r="AC218" s="1"/>
  <c r="AB217"/>
  <c r="AC217" s="1"/>
  <c r="AB216"/>
  <c r="AC216" s="1"/>
  <c r="M222" i="4"/>
  <c r="M242" s="1"/>
  <c r="AD222"/>
  <c r="AD222" i="5" s="1"/>
  <c r="R222" i="4"/>
  <c r="R222" i="5" s="1"/>
  <c r="O222" i="4"/>
  <c r="O222" i="5" s="1"/>
  <c r="L222" i="4"/>
  <c r="L222" i="5" s="1"/>
  <c r="AL166" i="4"/>
  <c r="AK166"/>
  <c r="AA166"/>
  <c r="AA166" i="5" s="1"/>
  <c r="O133" i="4"/>
  <c r="O133" i="5" s="1"/>
  <c r="AA133" i="4"/>
  <c r="AA133" i="5" s="1"/>
  <c r="U133" i="4"/>
  <c r="U133" i="5" s="1"/>
  <c r="R133" i="4"/>
  <c r="R133" i="5" s="1"/>
  <c r="L133" i="4"/>
  <c r="L133" i="5" s="1"/>
  <c r="AA109" i="4"/>
  <c r="AA109" i="5" s="1"/>
  <c r="U109" i="4"/>
  <c r="U109" i="5" s="1"/>
  <c r="R109" i="4"/>
  <c r="R109" i="5" s="1"/>
  <c r="L109" i="4"/>
  <c r="L109" i="5" s="1"/>
  <c r="AA74" i="4"/>
  <c r="AA74" i="5" s="1"/>
  <c r="X74" i="4"/>
  <c r="X74" i="5" s="1"/>
  <c r="X76" s="1"/>
  <c r="U74" i="4"/>
  <c r="U74" i="5" s="1"/>
  <c r="R74" i="4"/>
  <c r="R74" i="5" s="1"/>
  <c r="L74" i="4"/>
  <c r="L74" i="5" s="1"/>
  <c r="AK41" i="4"/>
  <c r="Y108" i="5"/>
  <c r="Y105"/>
  <c r="Y20"/>
  <c r="E51" l="1"/>
  <c r="C12" i="2"/>
  <c r="H41" i="4"/>
  <c r="H180" i="5"/>
  <c r="E13"/>
  <c r="E109" i="4"/>
  <c r="J86" i="5"/>
  <c r="J88"/>
  <c r="D109" i="4"/>
  <c r="J180" i="5"/>
  <c r="K85"/>
  <c r="K123"/>
  <c r="K152"/>
  <c r="K51"/>
  <c r="G51"/>
  <c r="G86"/>
  <c r="G88"/>
  <c r="H152"/>
  <c r="D128"/>
  <c r="H33"/>
  <c r="B242" i="4"/>
  <c r="D133"/>
  <c r="K133"/>
  <c r="E166"/>
  <c r="H166"/>
  <c r="K41"/>
  <c r="E41"/>
  <c r="G41"/>
  <c r="J133"/>
  <c r="G188"/>
  <c r="G166"/>
  <c r="H96" i="5"/>
  <c r="G13"/>
  <c r="E188" i="4"/>
  <c r="K188"/>
  <c r="G222" i="5"/>
  <c r="C242" i="4"/>
  <c r="C244" i="5" s="1"/>
  <c r="I242" i="4"/>
  <c r="I18" i="2" s="1"/>
  <c r="I18" i="3" s="1"/>
  <c r="J74" i="4"/>
  <c r="K74"/>
  <c r="J109"/>
  <c r="K109"/>
  <c r="G133"/>
  <c r="J166"/>
  <c r="K166"/>
  <c r="J188"/>
  <c r="E74"/>
  <c r="D188"/>
  <c r="J41"/>
  <c r="D74"/>
  <c r="H188"/>
  <c r="J157" i="5"/>
  <c r="K180"/>
  <c r="K24"/>
  <c r="G124"/>
  <c r="G157"/>
  <c r="G180"/>
  <c r="H128"/>
  <c r="D21"/>
  <c r="D89"/>
  <c r="H13"/>
  <c r="H24"/>
  <c r="N85"/>
  <c r="N13"/>
  <c r="N51"/>
  <c r="D222"/>
  <c r="J85"/>
  <c r="J96"/>
  <c r="J123"/>
  <c r="J152"/>
  <c r="J179"/>
  <c r="K157"/>
  <c r="J13"/>
  <c r="J24"/>
  <c r="J51"/>
  <c r="G89"/>
  <c r="G96"/>
  <c r="G128"/>
  <c r="H51"/>
  <c r="H89"/>
  <c r="H124"/>
  <c r="H146"/>
  <c r="D33"/>
  <c r="D124"/>
  <c r="D146"/>
  <c r="G21"/>
  <c r="G33"/>
  <c r="I74"/>
  <c r="N74" s="1"/>
  <c r="I109"/>
  <c r="N109" s="1"/>
  <c r="C188"/>
  <c r="C15" i="2"/>
  <c r="C15" i="3" s="1"/>
  <c r="H74" i="5"/>
  <c r="G74"/>
  <c r="F188"/>
  <c r="H188" s="1"/>
  <c r="I188"/>
  <c r="I11" i="2"/>
  <c r="I41" i="5"/>
  <c r="M41" s="1"/>
  <c r="F11" i="2"/>
  <c r="F41" i="5"/>
  <c r="C11" i="2"/>
  <c r="C41" i="5"/>
  <c r="D41" i="4"/>
  <c r="B11" i="2"/>
  <c r="B11" i="3" s="1"/>
  <c r="B41" i="5"/>
  <c r="AB74"/>
  <c r="AC74" s="1"/>
  <c r="B16" i="2"/>
  <c r="B16" i="3" s="1"/>
  <c r="B188" i="5"/>
  <c r="I15" i="2"/>
  <c r="I166" i="5"/>
  <c r="B13" i="2"/>
  <c r="B13" i="3" s="1"/>
  <c r="B109" i="5"/>
  <c r="I14" i="2"/>
  <c r="I133" i="5"/>
  <c r="N133" s="1"/>
  <c r="C17" i="3"/>
  <c r="D17" s="1"/>
  <c r="E17" s="1"/>
  <c r="D17" i="2"/>
  <c r="E17" s="1"/>
  <c r="I17" i="3"/>
  <c r="J17" i="2"/>
  <c r="K17" s="1"/>
  <c r="F16" i="3"/>
  <c r="G16" i="2"/>
  <c r="H16" s="1"/>
  <c r="I13" i="3"/>
  <c r="I12"/>
  <c r="J12" i="2"/>
  <c r="K12" s="1"/>
  <c r="F17" i="3"/>
  <c r="G17" i="2"/>
  <c r="H17" s="1"/>
  <c r="C16" i="3"/>
  <c r="D16" i="2"/>
  <c r="E16" s="1"/>
  <c r="I16" i="3"/>
  <c r="J16" i="2"/>
  <c r="K16" s="1"/>
  <c r="F12" i="3"/>
  <c r="G12" i="2"/>
  <c r="H12" s="1"/>
  <c r="C12" i="3"/>
  <c r="B15" i="2"/>
  <c r="B15" i="3" s="1"/>
  <c r="B166" i="5"/>
  <c r="F14" i="2"/>
  <c r="F133" i="5"/>
  <c r="F13" i="2"/>
  <c r="J13" s="1"/>
  <c r="K13" s="1"/>
  <c r="F109" i="5"/>
  <c r="B14" i="2"/>
  <c r="B14" i="3" s="1"/>
  <c r="B133" i="5"/>
  <c r="B12" i="2"/>
  <c r="B12" i="3" s="1"/>
  <c r="B74" i="5"/>
  <c r="F15" i="2"/>
  <c r="F166" i="5"/>
  <c r="C14" i="2"/>
  <c r="C133" i="5"/>
  <c r="C13" i="2"/>
  <c r="C109" i="5"/>
  <c r="I244"/>
  <c r="F18" i="2"/>
  <c r="F244" i="5"/>
  <c r="C18" i="2"/>
  <c r="B18"/>
  <c r="B244" i="5"/>
  <c r="M61"/>
  <c r="M146"/>
  <c r="N151"/>
  <c r="E180"/>
  <c r="BK7"/>
  <c r="BK9"/>
  <c r="BK11"/>
  <c r="BK13"/>
  <c r="BK14"/>
  <c r="BK16"/>
  <c r="BK20"/>
  <c r="BK22"/>
  <c r="BK24"/>
  <c r="BK26"/>
  <c r="BK28"/>
  <c r="BK30"/>
  <c r="BK32"/>
  <c r="BK34"/>
  <c r="BK52"/>
  <c r="BK54"/>
  <c r="BK56"/>
  <c r="BK58"/>
  <c r="BK59"/>
  <c r="BK61"/>
  <c r="BK63"/>
  <c r="BK65"/>
  <c r="BK67"/>
  <c r="BK69"/>
  <c r="BK71"/>
  <c r="BK73"/>
  <c r="BK86"/>
  <c r="BK88"/>
  <c r="BK90"/>
  <c r="BK93"/>
  <c r="BK95"/>
  <c r="BK97"/>
  <c r="BK99"/>
  <c r="BK101"/>
  <c r="BK103"/>
  <c r="BK105"/>
  <c r="BK120"/>
  <c r="BK199"/>
  <c r="BK202"/>
  <c r="BK204"/>
  <c r="BK206"/>
  <c r="BK208"/>
  <c r="BK210"/>
  <c r="BK212"/>
  <c r="BK214"/>
  <c r="BK216"/>
  <c r="BK218"/>
  <c r="BK220"/>
  <c r="BK8"/>
  <c r="BK15"/>
  <c r="BK18"/>
  <c r="BK19"/>
  <c r="BK72"/>
  <c r="BK89"/>
  <c r="BK92"/>
  <c r="BK94"/>
  <c r="BK96"/>
  <c r="BK98"/>
  <c r="BK100"/>
  <c r="BK102"/>
  <c r="BK104"/>
  <c r="BK108"/>
  <c r="BK121"/>
  <c r="BK123"/>
  <c r="BK125"/>
  <c r="BK129"/>
  <c r="BK131"/>
  <c r="BK146"/>
  <c r="BK148"/>
  <c r="BK150"/>
  <c r="BK153"/>
  <c r="BK156"/>
  <c r="BK157"/>
  <c r="BK159"/>
  <c r="BK162"/>
  <c r="BK163"/>
  <c r="BK184"/>
  <c r="BK187"/>
  <c r="BK198"/>
  <c r="BK200"/>
  <c r="BK201"/>
  <c r="BK205"/>
  <c r="BK207"/>
  <c r="BK209"/>
  <c r="BK211"/>
  <c r="BK213"/>
  <c r="BK215"/>
  <c r="BK217"/>
  <c r="BK219"/>
  <c r="BK122"/>
  <c r="BK124"/>
  <c r="BK127"/>
  <c r="BK130"/>
  <c r="BK132"/>
  <c r="BK147"/>
  <c r="BK149"/>
  <c r="BK154"/>
  <c r="BK158"/>
  <c r="BK160"/>
  <c r="BK185"/>
  <c r="BK10"/>
  <c r="BK12"/>
  <c r="BK21"/>
  <c r="BK23"/>
  <c r="BK25"/>
  <c r="BK27"/>
  <c r="BK29"/>
  <c r="BK31"/>
  <c r="BK33"/>
  <c r="BK35"/>
  <c r="BK38"/>
  <c r="BK51"/>
  <c r="BK53"/>
  <c r="BK55"/>
  <c r="BK57"/>
  <c r="BK60"/>
  <c r="BK62"/>
  <c r="BK64"/>
  <c r="BK66"/>
  <c r="BK68"/>
  <c r="BK70"/>
  <c r="BK85"/>
  <c r="BK87"/>
  <c r="BK203"/>
  <c r="AE41"/>
  <c r="AQ41"/>
  <c r="M109"/>
  <c r="N222"/>
  <c r="M222"/>
  <c r="N41"/>
  <c r="AN41"/>
  <c r="AP41"/>
  <c r="E242" i="4"/>
  <c r="K41" i="5"/>
  <c r="D13"/>
  <c r="H222"/>
  <c r="D242" i="4"/>
  <c r="H242"/>
  <c r="G242"/>
  <c r="J242"/>
  <c r="AS60" i="5"/>
  <c r="BB60" s="1"/>
  <c r="AR110"/>
  <c r="AS110"/>
  <c r="AZ7"/>
  <c r="AZ41" s="1"/>
  <c r="AO41"/>
  <c r="BJ188"/>
  <c r="BJ74"/>
  <c r="BB36"/>
  <c r="BK36" s="1"/>
  <c r="AX188"/>
  <c r="AX190" s="1"/>
  <c r="AZ74"/>
  <c r="AZ75"/>
  <c r="AZ188"/>
  <c r="BB127"/>
  <c r="BB130"/>
  <c r="BB131"/>
  <c r="AZ166"/>
  <c r="BB149"/>
  <c r="AZ133"/>
  <c r="BB121"/>
  <c r="BB122"/>
  <c r="BB123"/>
  <c r="BB124"/>
  <c r="BB125"/>
  <c r="BB157"/>
  <c r="AZ109"/>
  <c r="AZ220"/>
  <c r="AK109"/>
  <c r="AB14"/>
  <c r="AC14" s="1"/>
  <c r="AB23"/>
  <c r="AC23" s="1"/>
  <c r="AB31"/>
  <c r="AC31" s="1"/>
  <c r="AP166"/>
  <c r="AM258" i="4"/>
  <c r="AO109" i="5"/>
  <c r="AL133"/>
  <c r="AK188"/>
  <c r="AR42"/>
  <c r="AP74"/>
  <c r="AS189"/>
  <c r="AL41"/>
  <c r="AL74"/>
  <c r="AQ74"/>
  <c r="AN109"/>
  <c r="AP133"/>
  <c r="AN188"/>
  <c r="AJ222"/>
  <c r="AN222"/>
  <c r="AO188"/>
  <c r="AK222"/>
  <c r="AO222"/>
  <c r="AG157"/>
  <c r="AH157" s="1"/>
  <c r="AG164"/>
  <c r="AH164" s="1"/>
  <c r="AN74"/>
  <c r="AL109"/>
  <c r="AP109"/>
  <c r="AN133"/>
  <c r="AN166"/>
  <c r="AT150"/>
  <c r="AU150" s="1"/>
  <c r="AL188"/>
  <c r="AT180"/>
  <c r="AU180" s="1"/>
  <c r="AL222"/>
  <c r="AP222"/>
  <c r="AB179"/>
  <c r="AC179" s="1"/>
  <c r="AB10"/>
  <c r="AC10" s="1"/>
  <c r="AB19"/>
  <c r="AB27"/>
  <c r="AC27" s="1"/>
  <c r="AK41"/>
  <c r="AV36"/>
  <c r="AW36" s="1"/>
  <c r="AK74"/>
  <c r="AO74"/>
  <c r="AQ109"/>
  <c r="AE133"/>
  <c r="AK133"/>
  <c r="AO133"/>
  <c r="AO166"/>
  <c r="AI222"/>
  <c r="AQ222"/>
  <c r="AB8"/>
  <c r="AC8" s="1"/>
  <c r="AB15"/>
  <c r="AC15" s="1"/>
  <c r="AB18"/>
  <c r="AC18" s="1"/>
  <c r="AB25"/>
  <c r="AC25" s="1"/>
  <c r="AB32"/>
  <c r="AC32" s="1"/>
  <c r="AB34"/>
  <c r="AC34" s="1"/>
  <c r="AB121"/>
  <c r="AC121" s="1"/>
  <c r="AB123"/>
  <c r="AC123" s="1"/>
  <c r="AB125"/>
  <c r="AC125" s="1"/>
  <c r="AB127"/>
  <c r="AC127" s="1"/>
  <c r="AB130"/>
  <c r="AB132"/>
  <c r="AC132" s="1"/>
  <c r="AB147"/>
  <c r="AC147" s="1"/>
  <c r="AB149"/>
  <c r="AC149" s="1"/>
  <c r="AB151"/>
  <c r="AC151" s="1"/>
  <c r="AB153"/>
  <c r="AC153" s="1"/>
  <c r="AB155"/>
  <c r="AC155" s="1"/>
  <c r="AB157"/>
  <c r="AC157" s="1"/>
  <c r="AB159"/>
  <c r="AC159" s="1"/>
  <c r="AB161"/>
  <c r="AC161" s="1"/>
  <c r="AB163"/>
  <c r="AB180"/>
  <c r="AC180" s="1"/>
  <c r="AB182"/>
  <c r="AC182" s="1"/>
  <c r="AB184"/>
  <c r="AC184" s="1"/>
  <c r="AB187"/>
  <c r="AC187" s="1"/>
  <c r="AB199"/>
  <c r="AC199" s="1"/>
  <c r="AB201"/>
  <c r="AC201" s="1"/>
  <c r="AB203"/>
  <c r="AC203" s="1"/>
  <c r="AB205"/>
  <c r="AC205" s="1"/>
  <c r="AB207"/>
  <c r="AC207" s="1"/>
  <c r="AB209"/>
  <c r="AC209" s="1"/>
  <c r="AB211"/>
  <c r="AC211" s="1"/>
  <c r="AB213"/>
  <c r="AC213" s="1"/>
  <c r="AB215"/>
  <c r="AC215" s="1"/>
  <c r="AT36"/>
  <c r="AT121"/>
  <c r="AU121" s="1"/>
  <c r="AT123"/>
  <c r="AU123" s="1"/>
  <c r="AT125"/>
  <c r="AU125" s="1"/>
  <c r="AT127"/>
  <c r="AU127" s="1"/>
  <c r="AT130"/>
  <c r="AU130" s="1"/>
  <c r="AT132"/>
  <c r="AU132" s="1"/>
  <c r="AT149"/>
  <c r="AU149" s="1"/>
  <c r="AV157"/>
  <c r="AW157" s="1"/>
  <c r="AV164"/>
  <c r="AW164" s="1"/>
  <c r="AB11"/>
  <c r="AC11" s="1"/>
  <c r="AB13"/>
  <c r="AC13" s="1"/>
  <c r="AB21"/>
  <c r="AC21" s="1"/>
  <c r="AB28"/>
  <c r="AC28" s="1"/>
  <c r="AB30"/>
  <c r="AC30" s="1"/>
  <c r="AB52"/>
  <c r="AC52" s="1"/>
  <c r="AB54"/>
  <c r="AC54" s="1"/>
  <c r="AB56"/>
  <c r="AC56" s="1"/>
  <c r="AB58"/>
  <c r="AC58" s="1"/>
  <c r="AB60"/>
  <c r="AC60" s="1"/>
  <c r="AB62"/>
  <c r="AC62" s="1"/>
  <c r="AB64"/>
  <c r="AC64" s="1"/>
  <c r="AB66"/>
  <c r="AC66" s="1"/>
  <c r="AB68"/>
  <c r="AC68" s="1"/>
  <c r="AB70"/>
  <c r="AB85"/>
  <c r="AC85" s="1"/>
  <c r="AB87"/>
  <c r="AC87" s="1"/>
  <c r="AB89"/>
  <c r="AC89" s="1"/>
  <c r="AB92"/>
  <c r="AC92" s="1"/>
  <c r="AB94"/>
  <c r="AC94" s="1"/>
  <c r="AB96"/>
  <c r="AC96" s="1"/>
  <c r="AB98"/>
  <c r="AC98" s="1"/>
  <c r="AB100"/>
  <c r="AC100" s="1"/>
  <c r="AB102"/>
  <c r="AC102" s="1"/>
  <c r="AB104"/>
  <c r="AC104" s="1"/>
  <c r="AB108"/>
  <c r="AC108" s="1"/>
  <c r="AT157"/>
  <c r="AU157" s="1"/>
  <c r="AT164"/>
  <c r="AU164" s="1"/>
  <c r="AB7"/>
  <c r="AB9"/>
  <c r="AC9" s="1"/>
  <c r="AB16"/>
  <c r="AC16" s="1"/>
  <c r="AB24"/>
  <c r="AC24" s="1"/>
  <c r="AB26"/>
  <c r="AC26" s="1"/>
  <c r="AB33"/>
  <c r="AC33" s="1"/>
  <c r="AB120"/>
  <c r="AB122"/>
  <c r="AC122" s="1"/>
  <c r="AB124"/>
  <c r="AC124" s="1"/>
  <c r="AB126"/>
  <c r="AC126" s="1"/>
  <c r="AB129"/>
  <c r="AC129" s="1"/>
  <c r="AB131"/>
  <c r="AC131" s="1"/>
  <c r="AB146"/>
  <c r="AC146" s="1"/>
  <c r="AB148"/>
  <c r="AC148" s="1"/>
  <c r="AB150"/>
  <c r="AC150" s="1"/>
  <c r="AB152"/>
  <c r="AC152" s="1"/>
  <c r="AB154"/>
  <c r="AC154" s="1"/>
  <c r="AB156"/>
  <c r="AC156" s="1"/>
  <c r="AB158"/>
  <c r="AC158" s="1"/>
  <c r="AB160"/>
  <c r="AC160" s="1"/>
  <c r="AB162"/>
  <c r="AC162" s="1"/>
  <c r="AB164"/>
  <c r="AB181"/>
  <c r="AC181" s="1"/>
  <c r="AB183"/>
  <c r="AC183" s="1"/>
  <c r="AB185"/>
  <c r="AC185" s="1"/>
  <c r="AB198"/>
  <c r="AC198" s="1"/>
  <c r="AB200"/>
  <c r="AC200" s="1"/>
  <c r="AB202"/>
  <c r="AC202" s="1"/>
  <c r="AB204"/>
  <c r="AC204" s="1"/>
  <c r="AB206"/>
  <c r="AC206" s="1"/>
  <c r="AB208"/>
  <c r="AC208" s="1"/>
  <c r="AB210"/>
  <c r="AC210" s="1"/>
  <c r="AB212"/>
  <c r="AC212" s="1"/>
  <c r="AB214"/>
  <c r="AC214" s="1"/>
  <c r="AT122"/>
  <c r="AU122" s="1"/>
  <c r="AT124"/>
  <c r="AU124" s="1"/>
  <c r="AT131"/>
  <c r="AU131" s="1"/>
  <c r="AB12"/>
  <c r="AC12" s="1"/>
  <c r="AB20"/>
  <c r="AC20" s="1"/>
  <c r="AB29"/>
  <c r="AC29" s="1"/>
  <c r="AB51"/>
  <c r="AB53"/>
  <c r="AC53" s="1"/>
  <c r="AB55"/>
  <c r="AC55" s="1"/>
  <c r="AB57"/>
  <c r="AC57" s="1"/>
  <c r="AB59"/>
  <c r="AB61"/>
  <c r="AC61" s="1"/>
  <c r="AB63"/>
  <c r="AC63" s="1"/>
  <c r="AB65"/>
  <c r="AB67"/>
  <c r="AC67" s="1"/>
  <c r="AB69"/>
  <c r="AC69" s="1"/>
  <c r="AB71"/>
  <c r="AC71" s="1"/>
  <c r="AB86"/>
  <c r="AC86" s="1"/>
  <c r="AB88"/>
  <c r="AC88" s="1"/>
  <c r="AB90"/>
  <c r="AC90" s="1"/>
  <c r="AB93"/>
  <c r="AC93" s="1"/>
  <c r="AB95"/>
  <c r="AC95" s="1"/>
  <c r="AB97"/>
  <c r="AC97" s="1"/>
  <c r="AB99"/>
  <c r="AC99" s="1"/>
  <c r="AB101"/>
  <c r="AC101" s="1"/>
  <c r="AB103"/>
  <c r="AC103" s="1"/>
  <c r="AB105"/>
  <c r="V109" i="4"/>
  <c r="K244" i="5" l="1"/>
  <c r="M74"/>
  <c r="K242" i="4"/>
  <c r="G188" i="5"/>
  <c r="G41"/>
  <c r="M133"/>
  <c r="D41"/>
  <c r="K188"/>
  <c r="E188"/>
  <c r="E41"/>
  <c r="H41"/>
  <c r="J188"/>
  <c r="J41"/>
  <c r="J74"/>
  <c r="K74"/>
  <c r="G244"/>
  <c r="BC36"/>
  <c r="H244"/>
  <c r="D188"/>
  <c r="C11" i="3"/>
  <c r="D11" s="1"/>
  <c r="E11" s="1"/>
  <c r="D11" i="2"/>
  <c r="E11" s="1"/>
  <c r="F11" i="3"/>
  <c r="G11" i="2"/>
  <c r="H11" s="1"/>
  <c r="I11" i="3"/>
  <c r="J11" i="2"/>
  <c r="K11" s="1"/>
  <c r="J16" i="3"/>
  <c r="K16" s="1"/>
  <c r="D16"/>
  <c r="E16" s="1"/>
  <c r="G17"/>
  <c r="H17" s="1"/>
  <c r="D12" i="2"/>
  <c r="E12" s="1"/>
  <c r="D15"/>
  <c r="E15" s="1"/>
  <c r="C13" i="3"/>
  <c r="D13" s="1"/>
  <c r="E13" s="1"/>
  <c r="D13" i="2"/>
  <c r="E13" s="1"/>
  <c r="C14" i="3"/>
  <c r="D14" s="1"/>
  <c r="E14" s="1"/>
  <c r="D14" i="2"/>
  <c r="E14" s="1"/>
  <c r="F15" i="3"/>
  <c r="G15" s="1"/>
  <c r="H15" s="1"/>
  <c r="G15" i="2"/>
  <c r="H15" s="1"/>
  <c r="F13" i="3"/>
  <c r="G13" i="2"/>
  <c r="H13" s="1"/>
  <c r="F14" i="3"/>
  <c r="G14" i="2"/>
  <c r="H14" s="1"/>
  <c r="I14" i="3"/>
  <c r="J14" i="2"/>
  <c r="K14" s="1"/>
  <c r="I15" i="3"/>
  <c r="J15" i="2"/>
  <c r="K15" s="1"/>
  <c r="D12" i="3"/>
  <c r="E12" s="1"/>
  <c r="G12"/>
  <c r="H12" s="1"/>
  <c r="D15"/>
  <c r="E15" s="1"/>
  <c r="J12"/>
  <c r="K12" s="1"/>
  <c r="J13"/>
  <c r="K13" s="1"/>
  <c r="G16"/>
  <c r="H16" s="1"/>
  <c r="J17"/>
  <c r="K17" s="1"/>
  <c r="E109" i="5"/>
  <c r="D109"/>
  <c r="E133"/>
  <c r="D133"/>
  <c r="H166"/>
  <c r="G166"/>
  <c r="E74"/>
  <c r="D74"/>
  <c r="H109"/>
  <c r="J109"/>
  <c r="G109"/>
  <c r="K109"/>
  <c r="H133"/>
  <c r="G133"/>
  <c r="E166"/>
  <c r="D166"/>
  <c r="J133"/>
  <c r="K133"/>
  <c r="J166"/>
  <c r="K166"/>
  <c r="J244"/>
  <c r="J18" i="2"/>
  <c r="K18" s="1"/>
  <c r="F18" i="3"/>
  <c r="J18" s="1"/>
  <c r="K18" s="1"/>
  <c r="G18" i="2"/>
  <c r="H18" s="1"/>
  <c r="C18" i="3"/>
  <c r="B18"/>
  <c r="D18" i="2"/>
  <c r="E18" s="1"/>
  <c r="BK222" i="5"/>
  <c r="BK41"/>
  <c r="BK109"/>
  <c r="BK74"/>
  <c r="AR189"/>
  <c r="AS42"/>
  <c r="BA36"/>
  <c r="BA157"/>
  <c r="AN244"/>
  <c r="AO244"/>
  <c r="AC51"/>
  <c r="AC7"/>
  <c r="AC120"/>
  <c r="AB133"/>
  <c r="AN166" i="4"/>
  <c r="AO133"/>
  <c r="AN188"/>
  <c r="AN133"/>
  <c r="AN109"/>
  <c r="AN74"/>
  <c r="J15" i="3" l="1"/>
  <c r="K15" s="1"/>
  <c r="J14"/>
  <c r="K14" s="1"/>
  <c r="G13"/>
  <c r="H13" s="1"/>
  <c r="G11"/>
  <c r="H11" s="1"/>
  <c r="G18"/>
  <c r="H18" s="1"/>
  <c r="G14"/>
  <c r="H14" s="1"/>
  <c r="J11"/>
  <c r="K11" s="1"/>
  <c r="D18"/>
  <c r="E18" s="1"/>
  <c r="AI47" i="4"/>
  <c r="AI48" s="1"/>
  <c r="AO222"/>
  <c r="AN222"/>
  <c r="AO188"/>
  <c r="AD74"/>
  <c r="AO166"/>
  <c r="AI163"/>
  <c r="AI162"/>
  <c r="AI161"/>
  <c r="AI156"/>
  <c r="AI155"/>
  <c r="AI154"/>
  <c r="AI153"/>
  <c r="AI152"/>
  <c r="AI151"/>
  <c r="AI150"/>
  <c r="AI148"/>
  <c r="AI147"/>
  <c r="AI146"/>
  <c r="AS182"/>
  <c r="AS181"/>
  <c r="AI131"/>
  <c r="AI130"/>
  <c r="AI129"/>
  <c r="AI126"/>
  <c r="AI124"/>
  <c r="AI123"/>
  <c r="AQ74"/>
  <c r="AP74"/>
  <c r="AO74"/>
  <c r="AO109"/>
  <c r="AJ104"/>
  <c r="AI104"/>
  <c r="AJ96"/>
  <c r="AI96"/>
  <c r="AJ105"/>
  <c r="AI105"/>
  <c r="AJ98"/>
  <c r="AI98"/>
  <c r="AJ90"/>
  <c r="AI90"/>
  <c r="AQ41"/>
  <c r="AP41"/>
  <c r="AS10" i="5"/>
  <c r="AO41" i="4"/>
  <c r="AN41"/>
  <c r="AI32"/>
  <c r="AI25"/>
  <c r="AI20"/>
  <c r="AI18"/>
  <c r="AI13"/>
  <c r="AI11"/>
  <c r="AI10"/>
  <c r="AI9"/>
  <c r="AI8"/>
  <c r="AI7"/>
  <c r="AJ11"/>
  <c r="AJ20"/>
  <c r="AJ9"/>
  <c r="AJ32"/>
  <c r="AJ18"/>
  <c r="AJ13"/>
  <c r="AJ25"/>
  <c r="AJ8"/>
  <c r="AJ7"/>
  <c r="AJ10"/>
  <c r="AL222"/>
  <c r="AM220"/>
  <c r="AM219"/>
  <c r="AM218"/>
  <c r="AM217"/>
  <c r="AM216"/>
  <c r="AM215"/>
  <c r="AM214"/>
  <c r="AM213"/>
  <c r="AM212"/>
  <c r="AM211"/>
  <c r="AM210"/>
  <c r="AM209"/>
  <c r="AM208"/>
  <c r="AM207"/>
  <c r="AM206"/>
  <c r="AM205"/>
  <c r="AM204"/>
  <c r="AM203"/>
  <c r="AM202"/>
  <c r="AM200"/>
  <c r="AM199"/>
  <c r="AM198"/>
  <c r="AM187"/>
  <c r="AM185"/>
  <c r="AM184"/>
  <c r="AM183"/>
  <c r="AM182"/>
  <c r="AM181"/>
  <c r="AM180"/>
  <c r="AM179"/>
  <c r="AM165"/>
  <c r="AM163"/>
  <c r="AM162"/>
  <c r="AM161"/>
  <c r="AM160"/>
  <c r="AM159"/>
  <c r="AM158"/>
  <c r="AM157"/>
  <c r="AM156"/>
  <c r="AM155"/>
  <c r="AM154"/>
  <c r="AM153"/>
  <c r="AM152"/>
  <c r="AM151"/>
  <c r="AM150"/>
  <c r="AM149"/>
  <c r="AM148"/>
  <c r="AM147"/>
  <c r="AM146"/>
  <c r="AM132"/>
  <c r="AM131"/>
  <c r="AM130"/>
  <c r="AM129"/>
  <c r="AM127"/>
  <c r="AM126"/>
  <c r="AM125"/>
  <c r="AM124"/>
  <c r="AM123"/>
  <c r="AM122"/>
  <c r="AM121"/>
  <c r="AM120"/>
  <c r="AM108"/>
  <c r="AM105"/>
  <c r="AM104"/>
  <c r="AM103"/>
  <c r="AM102"/>
  <c r="AM101"/>
  <c r="AM100"/>
  <c r="AM99"/>
  <c r="AM98"/>
  <c r="AM97"/>
  <c r="AM96"/>
  <c r="AM95"/>
  <c r="AM94"/>
  <c r="AM93"/>
  <c r="AM92"/>
  <c r="AM90"/>
  <c r="AM89"/>
  <c r="AM88"/>
  <c r="AM87"/>
  <c r="AM86"/>
  <c r="AM85"/>
  <c r="AM73"/>
  <c r="AM72"/>
  <c r="AM71"/>
  <c r="AM70"/>
  <c r="AM69"/>
  <c r="AM68"/>
  <c r="AM67"/>
  <c r="AM66"/>
  <c r="AM65"/>
  <c r="AM64"/>
  <c r="AM63"/>
  <c r="AM62"/>
  <c r="AM61"/>
  <c r="AM60"/>
  <c r="AM58"/>
  <c r="AM57"/>
  <c r="AM56"/>
  <c r="AM55"/>
  <c r="AM54"/>
  <c r="AM53"/>
  <c r="AM52"/>
  <c r="AM51"/>
  <c r="AM38"/>
  <c r="AM35"/>
  <c r="AM34"/>
  <c r="AM33"/>
  <c r="AM32"/>
  <c r="AM31"/>
  <c r="AM30"/>
  <c r="AM29"/>
  <c r="AM28"/>
  <c r="AM27"/>
  <c r="AM26"/>
  <c r="AM25"/>
  <c r="AM24"/>
  <c r="AM23"/>
  <c r="AM22"/>
  <c r="AM21"/>
  <c r="AM20"/>
  <c r="AM18"/>
  <c r="AM16"/>
  <c r="AM15"/>
  <c r="AM13"/>
  <c r="AM12"/>
  <c r="AM11"/>
  <c r="AM10"/>
  <c r="AM9"/>
  <c r="AM8"/>
  <c r="AM7"/>
  <c r="AK222"/>
  <c r="AL188"/>
  <c r="AK188"/>
  <c r="AK133"/>
  <c r="AL109"/>
  <c r="AK109"/>
  <c r="AL74"/>
  <c r="AK74"/>
  <c r="AM41"/>
  <c r="AE198"/>
  <c r="AE180"/>
  <c r="AE163"/>
  <c r="AE51"/>
  <c r="BL182" i="5" l="1"/>
  <c r="AT182" i="4"/>
  <c r="AU182" s="1"/>
  <c r="BM182"/>
  <c r="BQ182" s="1"/>
  <c r="BL181" i="5"/>
  <c r="BM181" i="4"/>
  <c r="BQ181" s="1"/>
  <c r="AT181"/>
  <c r="AU181" s="1"/>
  <c r="AR74"/>
  <c r="AD76"/>
  <c r="AD76" i="5" s="1"/>
  <c r="AD74"/>
  <c r="AE51"/>
  <c r="AE74" s="1"/>
  <c r="AE163"/>
  <c r="AE180"/>
  <c r="AE188" s="1"/>
  <c r="AM7"/>
  <c r="AM8"/>
  <c r="AM9"/>
  <c r="AM10"/>
  <c r="AM11"/>
  <c r="AM12"/>
  <c r="AM13"/>
  <c r="AM15"/>
  <c r="AM16"/>
  <c r="AM18"/>
  <c r="AM20"/>
  <c r="AM21"/>
  <c r="AM22"/>
  <c r="AM23"/>
  <c r="AM24"/>
  <c r="AM25"/>
  <c r="AM26"/>
  <c r="AM27"/>
  <c r="AM28"/>
  <c r="AM29"/>
  <c r="AM30"/>
  <c r="AM31"/>
  <c r="AM32"/>
  <c r="AM33"/>
  <c r="AM34"/>
  <c r="AM35"/>
  <c r="AM38"/>
  <c r="AM51"/>
  <c r="AM52"/>
  <c r="AM53"/>
  <c r="AM54"/>
  <c r="AM55"/>
  <c r="AM56"/>
  <c r="AM57"/>
  <c r="AM58"/>
  <c r="AM60"/>
  <c r="AM61"/>
  <c r="AM62"/>
  <c r="AM63"/>
  <c r="AM64"/>
  <c r="AM65"/>
  <c r="AM66"/>
  <c r="AM67"/>
  <c r="AM68"/>
  <c r="AM69"/>
  <c r="AM70"/>
  <c r="AM71"/>
  <c r="AM72"/>
  <c r="AM73"/>
  <c r="AM85"/>
  <c r="AM86"/>
  <c r="AM87"/>
  <c r="AM88"/>
  <c r="AM89"/>
  <c r="AM90"/>
  <c r="AM92"/>
  <c r="AM93"/>
  <c r="AM94"/>
  <c r="AM95"/>
  <c r="AM96"/>
  <c r="AM97"/>
  <c r="AM98"/>
  <c r="AM99"/>
  <c r="AM100"/>
  <c r="AM101"/>
  <c r="AM102"/>
  <c r="AM103"/>
  <c r="AM104"/>
  <c r="AM105"/>
  <c r="AM108"/>
  <c r="AM120"/>
  <c r="AM121"/>
  <c r="AM122"/>
  <c r="AM123"/>
  <c r="AM124"/>
  <c r="AM125"/>
  <c r="AM126"/>
  <c r="AM127"/>
  <c r="AM129"/>
  <c r="AM130"/>
  <c r="AM131"/>
  <c r="AM132"/>
  <c r="AM146"/>
  <c r="AM147"/>
  <c r="AM148"/>
  <c r="AM149"/>
  <c r="AM150"/>
  <c r="AM151"/>
  <c r="AM152"/>
  <c r="AM153"/>
  <c r="AM154"/>
  <c r="AM155"/>
  <c r="AM156"/>
  <c r="AM157"/>
  <c r="AM158"/>
  <c r="AM159"/>
  <c r="AM160"/>
  <c r="AM161"/>
  <c r="AM162"/>
  <c r="AM163"/>
  <c r="AM164"/>
  <c r="AM179"/>
  <c r="AM180"/>
  <c r="AM181"/>
  <c r="AM182"/>
  <c r="AM183"/>
  <c r="AM184"/>
  <c r="AM185"/>
  <c r="AM187"/>
  <c r="AM198"/>
  <c r="AM199"/>
  <c r="AM200"/>
  <c r="AM202"/>
  <c r="AM203"/>
  <c r="AM204"/>
  <c r="AM205"/>
  <c r="AM206"/>
  <c r="AM207"/>
  <c r="AM208"/>
  <c r="AM209"/>
  <c r="AM210"/>
  <c r="AM211"/>
  <c r="AM212"/>
  <c r="AM213"/>
  <c r="AM214"/>
  <c r="AM215"/>
  <c r="AM216"/>
  <c r="AM217"/>
  <c r="AM218"/>
  <c r="AM219"/>
  <c r="AM220"/>
  <c r="AJ10"/>
  <c r="AJ7"/>
  <c r="AJ8"/>
  <c r="AJ25"/>
  <c r="AJ13"/>
  <c r="AJ18"/>
  <c r="AJ32"/>
  <c r="AJ9"/>
  <c r="AJ20"/>
  <c r="AJ11"/>
  <c r="AI7"/>
  <c r="AI8"/>
  <c r="AI9"/>
  <c r="AI10"/>
  <c r="AI11"/>
  <c r="AI13"/>
  <c r="AI18"/>
  <c r="AI20"/>
  <c r="AI25"/>
  <c r="AI32"/>
  <c r="AS8"/>
  <c r="BB8" s="1"/>
  <c r="AS9"/>
  <c r="BB9" s="1"/>
  <c r="BB10"/>
  <c r="AS11"/>
  <c r="BB11" s="1"/>
  <c r="AS12"/>
  <c r="BB12" s="1"/>
  <c r="AS13"/>
  <c r="BB13" s="1"/>
  <c r="AR14"/>
  <c r="AT14" s="1"/>
  <c r="AU14" s="1"/>
  <c r="AS14"/>
  <c r="BB14" s="1"/>
  <c r="AS15"/>
  <c r="BB15" s="1"/>
  <c r="AS16"/>
  <c r="BB16" s="1"/>
  <c r="AS18"/>
  <c r="BB18" s="1"/>
  <c r="AR19"/>
  <c r="AT19" s="1"/>
  <c r="AU19" s="1"/>
  <c r="AS19"/>
  <c r="BB19" s="1"/>
  <c r="AS20"/>
  <c r="BB20" s="1"/>
  <c r="AS21"/>
  <c r="BB21" s="1"/>
  <c r="AS22"/>
  <c r="BB22" s="1"/>
  <c r="AS23"/>
  <c r="BB23" s="1"/>
  <c r="AS24"/>
  <c r="BB24" s="1"/>
  <c r="AS25"/>
  <c r="BB25" s="1"/>
  <c r="AS26"/>
  <c r="BB26" s="1"/>
  <c r="AS27"/>
  <c r="BB27" s="1"/>
  <c r="AS28"/>
  <c r="BB28" s="1"/>
  <c r="AS29"/>
  <c r="BB29" s="1"/>
  <c r="AS30"/>
  <c r="BB30" s="1"/>
  <c r="AS31"/>
  <c r="BB31" s="1"/>
  <c r="AS32"/>
  <c r="BB32" s="1"/>
  <c r="AS33"/>
  <c r="BB33" s="1"/>
  <c r="AS34"/>
  <c r="BB34" s="1"/>
  <c r="AS35"/>
  <c r="BB35" s="1"/>
  <c r="AR38"/>
  <c r="AT38" s="1"/>
  <c r="AS38"/>
  <c r="AS7"/>
  <c r="AS52"/>
  <c r="BB52" s="1"/>
  <c r="AS53"/>
  <c r="BB53" s="1"/>
  <c r="AS54"/>
  <c r="BB54" s="1"/>
  <c r="AS55"/>
  <c r="BB55" s="1"/>
  <c r="AS56"/>
  <c r="BB56" s="1"/>
  <c r="AS57"/>
  <c r="BB57" s="1"/>
  <c r="AS59"/>
  <c r="BB59" s="1"/>
  <c r="AS61"/>
  <c r="BB61" s="1"/>
  <c r="AS62"/>
  <c r="BB62" s="1"/>
  <c r="AS63"/>
  <c r="BB63" s="1"/>
  <c r="AS64"/>
  <c r="BB64" s="1"/>
  <c r="AS65"/>
  <c r="BB65" s="1"/>
  <c r="AS66"/>
  <c r="BB66" s="1"/>
  <c r="AS67"/>
  <c r="BB67" s="1"/>
  <c r="AS68"/>
  <c r="BB68" s="1"/>
  <c r="AS69"/>
  <c r="BB69" s="1"/>
  <c r="AS70"/>
  <c r="BB70" s="1"/>
  <c r="AS71"/>
  <c r="BB71" s="1"/>
  <c r="AS72"/>
  <c r="BB72" s="1"/>
  <c r="AS73"/>
  <c r="BB73" s="1"/>
  <c r="AS58"/>
  <c r="BB58" s="1"/>
  <c r="AI90"/>
  <c r="AJ90"/>
  <c r="AI98"/>
  <c r="AJ98"/>
  <c r="AI105"/>
  <c r="AJ105"/>
  <c r="AI96"/>
  <c r="AJ96"/>
  <c r="AR120"/>
  <c r="AT120" s="1"/>
  <c r="AS120"/>
  <c r="BB120" s="1"/>
  <c r="AS129"/>
  <c r="BB129" s="1"/>
  <c r="AI104"/>
  <c r="AJ104"/>
  <c r="AS85"/>
  <c r="BB85" s="1"/>
  <c r="AS86"/>
  <c r="BB86" s="1"/>
  <c r="AS87"/>
  <c r="BB87" s="1"/>
  <c r="AS88"/>
  <c r="BB88" s="1"/>
  <c r="AS89"/>
  <c r="BB89" s="1"/>
  <c r="AS90"/>
  <c r="BB90" s="1"/>
  <c r="AS92"/>
  <c r="BB92" s="1"/>
  <c r="AS93"/>
  <c r="BB93" s="1"/>
  <c r="AS94"/>
  <c r="BB94" s="1"/>
  <c r="AS95"/>
  <c r="BB95" s="1"/>
  <c r="AS96"/>
  <c r="BB96" s="1"/>
  <c r="AS97"/>
  <c r="BB97" s="1"/>
  <c r="AS98"/>
  <c r="BB98" s="1"/>
  <c r="AS99"/>
  <c r="BB99" s="1"/>
  <c r="AS100"/>
  <c r="BB100" s="1"/>
  <c r="AS101"/>
  <c r="BB101" s="1"/>
  <c r="AS102"/>
  <c r="BB102" s="1"/>
  <c r="AS103"/>
  <c r="BB103" s="1"/>
  <c r="AS104"/>
  <c r="BB104" s="1"/>
  <c r="AS105"/>
  <c r="BB105" s="1"/>
  <c r="AS108"/>
  <c r="AS51"/>
  <c r="BB51" s="1"/>
  <c r="AI123"/>
  <c r="AI124"/>
  <c r="AI126"/>
  <c r="AI129"/>
  <c r="AI130"/>
  <c r="AI131"/>
  <c r="AS146"/>
  <c r="BB146" s="1"/>
  <c r="AP179"/>
  <c r="BK179" s="1"/>
  <c r="AS183"/>
  <c r="BB183" s="1"/>
  <c r="AS184"/>
  <c r="BB184" s="1"/>
  <c r="AS185"/>
  <c r="BB185" s="1"/>
  <c r="AS187"/>
  <c r="BB187" s="1"/>
  <c r="AR185"/>
  <c r="AT185" s="1"/>
  <c r="AU185" s="1"/>
  <c r="AP181"/>
  <c r="AQ181"/>
  <c r="AI146"/>
  <c r="AI147"/>
  <c r="AI148"/>
  <c r="AI150"/>
  <c r="AI151"/>
  <c r="AI152"/>
  <c r="AI153"/>
  <c r="AI154"/>
  <c r="AI155"/>
  <c r="AI156"/>
  <c r="AI161"/>
  <c r="AI162"/>
  <c r="AI163"/>
  <c r="AS147"/>
  <c r="BB147" s="1"/>
  <c r="AS150"/>
  <c r="BB150" s="1"/>
  <c r="AS153"/>
  <c r="BB153" s="1"/>
  <c r="AS154"/>
  <c r="BB154" s="1"/>
  <c r="AS159"/>
  <c r="BB159" s="1"/>
  <c r="AS160"/>
  <c r="BB160" s="1"/>
  <c r="AS162"/>
  <c r="BB162" s="1"/>
  <c r="AS163"/>
  <c r="BB163" s="1"/>
  <c r="AS198"/>
  <c r="BB198" s="1"/>
  <c r="AS199"/>
  <c r="BB199" s="1"/>
  <c r="AS200"/>
  <c r="BB200" s="1"/>
  <c r="AS201"/>
  <c r="BB201" s="1"/>
  <c r="AS202"/>
  <c r="BB202" s="1"/>
  <c r="AS203"/>
  <c r="BB203" s="1"/>
  <c r="AS204"/>
  <c r="BB204" s="1"/>
  <c r="AS205"/>
  <c r="BB205" s="1"/>
  <c r="AS206"/>
  <c r="BB206" s="1"/>
  <c r="AS207"/>
  <c r="BB207" s="1"/>
  <c r="AS208"/>
  <c r="AS209"/>
  <c r="BB209" s="1"/>
  <c r="AS210"/>
  <c r="BB210" s="1"/>
  <c r="AS211"/>
  <c r="BB211" s="1"/>
  <c r="AS212"/>
  <c r="BB212" s="1"/>
  <c r="AS213"/>
  <c r="BB213" s="1"/>
  <c r="AS214"/>
  <c r="BB214" s="1"/>
  <c r="AS215"/>
  <c r="BB215" s="1"/>
  <c r="AS216"/>
  <c r="BB216" s="1"/>
  <c r="AS217"/>
  <c r="BB217" s="1"/>
  <c r="AS218"/>
  <c r="BB218" s="1"/>
  <c r="AS219"/>
  <c r="BB219" s="1"/>
  <c r="AS220"/>
  <c r="BB220" s="1"/>
  <c r="BB7"/>
  <c r="AE222" i="4"/>
  <c r="AE198" i="5"/>
  <c r="AE222" s="1"/>
  <c r="AQ126"/>
  <c r="AR152"/>
  <c r="AT152" s="1"/>
  <c r="AU152" s="1"/>
  <c r="AQ152"/>
  <c r="BK152" s="1"/>
  <c r="AP180"/>
  <c r="BK180" s="1"/>
  <c r="AR161"/>
  <c r="AT161" s="1"/>
  <c r="AU161" s="1"/>
  <c r="AQ161"/>
  <c r="BK161" s="1"/>
  <c r="AQ151"/>
  <c r="BK151" s="1"/>
  <c r="AQ182"/>
  <c r="AP183"/>
  <c r="BK183" s="1"/>
  <c r="AQ155"/>
  <c r="BK155" s="1"/>
  <c r="AG214" i="4"/>
  <c r="AH214" s="1"/>
  <c r="AG214" i="5"/>
  <c r="AH214" s="1"/>
  <c r="AJ150" i="4"/>
  <c r="AG150"/>
  <c r="AH150" s="1"/>
  <c r="AG150" i="5"/>
  <c r="AH150" s="1"/>
  <c r="AR53"/>
  <c r="AT53" s="1"/>
  <c r="AU53" s="1"/>
  <c r="AR55"/>
  <c r="AT55" s="1"/>
  <c r="AU55" s="1"/>
  <c r="AR57"/>
  <c r="AT57" s="1"/>
  <c r="AU57" s="1"/>
  <c r="AR59"/>
  <c r="AT59" s="1"/>
  <c r="AU59" s="1"/>
  <c r="AR61"/>
  <c r="AT61" s="1"/>
  <c r="AU61" s="1"/>
  <c r="AR63"/>
  <c r="AT63" s="1"/>
  <c r="AU63" s="1"/>
  <c r="AR65"/>
  <c r="AT65" s="1"/>
  <c r="AU65" s="1"/>
  <c r="AR67"/>
  <c r="AT67" s="1"/>
  <c r="AU67" s="1"/>
  <c r="AR69"/>
  <c r="AT69" s="1"/>
  <c r="AU69" s="1"/>
  <c r="AR71"/>
  <c r="AT71" s="1"/>
  <c r="AU71" s="1"/>
  <c r="AR73"/>
  <c r="AT73" s="1"/>
  <c r="AU73" s="1"/>
  <c r="AR129"/>
  <c r="AT129" s="1"/>
  <c r="AU129" s="1"/>
  <c r="AR85"/>
  <c r="AR86"/>
  <c r="AT86" s="1"/>
  <c r="AU86" s="1"/>
  <c r="AR87"/>
  <c r="AT87" s="1"/>
  <c r="AU87" s="1"/>
  <c r="AR88"/>
  <c r="AT88" s="1"/>
  <c r="AU88" s="1"/>
  <c r="AR89"/>
  <c r="AT89" s="1"/>
  <c r="AU89" s="1"/>
  <c r="AR90"/>
  <c r="AT90" s="1"/>
  <c r="AU90" s="1"/>
  <c r="AR92"/>
  <c r="AT92" s="1"/>
  <c r="AU92" s="1"/>
  <c r="AR93"/>
  <c r="AT93" s="1"/>
  <c r="AU93" s="1"/>
  <c r="AR94"/>
  <c r="AT94" s="1"/>
  <c r="AU94" s="1"/>
  <c r="AR95"/>
  <c r="AT95" s="1"/>
  <c r="AU95" s="1"/>
  <c r="AR96"/>
  <c r="AT96" s="1"/>
  <c r="AU96" s="1"/>
  <c r="AR97"/>
  <c r="AT97" s="1"/>
  <c r="AU97" s="1"/>
  <c r="AR98"/>
  <c r="AT98" s="1"/>
  <c r="AU98" s="1"/>
  <c r="AR99"/>
  <c r="AT99" s="1"/>
  <c r="AU99" s="1"/>
  <c r="AR100"/>
  <c r="AT100" s="1"/>
  <c r="AU100" s="1"/>
  <c r="AR101"/>
  <c r="AT101" s="1"/>
  <c r="AU101" s="1"/>
  <c r="AR102"/>
  <c r="AT102" s="1"/>
  <c r="AU102" s="1"/>
  <c r="AR103"/>
  <c r="AT103" s="1"/>
  <c r="AU103" s="1"/>
  <c r="AR104"/>
  <c r="AT104" s="1"/>
  <c r="AU104" s="1"/>
  <c r="AR105"/>
  <c r="AT105" s="1"/>
  <c r="AU105" s="1"/>
  <c r="AR108"/>
  <c r="AT108" s="1"/>
  <c r="AU108" s="1"/>
  <c r="AR184"/>
  <c r="AT184" s="1"/>
  <c r="AU184" s="1"/>
  <c r="AR187"/>
  <c r="AT187" s="1"/>
  <c r="AU187" s="1"/>
  <c r="AR148"/>
  <c r="AT148" s="1"/>
  <c r="AU148" s="1"/>
  <c r="AR154"/>
  <c r="AT154" s="1"/>
  <c r="AU154" s="1"/>
  <c r="AR159"/>
  <c r="AT159" s="1"/>
  <c r="AU159" s="1"/>
  <c r="AR162"/>
  <c r="AT162" s="1"/>
  <c r="AU162" s="1"/>
  <c r="AR146"/>
  <c r="AR156"/>
  <c r="AT156" s="1"/>
  <c r="AU156" s="1"/>
  <c r="AR198"/>
  <c r="AR199"/>
  <c r="AT199" s="1"/>
  <c r="AU199" s="1"/>
  <c r="AR200"/>
  <c r="AT200" s="1"/>
  <c r="AU200" s="1"/>
  <c r="AR201"/>
  <c r="AT201" s="1"/>
  <c r="AU201" s="1"/>
  <c r="AR202"/>
  <c r="AT202" s="1"/>
  <c r="AU202" s="1"/>
  <c r="AR203"/>
  <c r="AT203" s="1"/>
  <c r="AU203" s="1"/>
  <c r="AR204"/>
  <c r="AT204" s="1"/>
  <c r="AU204" s="1"/>
  <c r="AR205"/>
  <c r="AT205" s="1"/>
  <c r="AU205" s="1"/>
  <c r="AR206"/>
  <c r="AT206" s="1"/>
  <c r="AU206" s="1"/>
  <c r="AR207"/>
  <c r="AT207" s="1"/>
  <c r="AU207" s="1"/>
  <c r="AR208"/>
  <c r="AT208" s="1"/>
  <c r="AU208" s="1"/>
  <c r="AR209"/>
  <c r="AT209" s="1"/>
  <c r="AU209" s="1"/>
  <c r="AR210"/>
  <c r="AT210" s="1"/>
  <c r="AU210" s="1"/>
  <c r="AR211"/>
  <c r="AT211" s="1"/>
  <c r="AU211" s="1"/>
  <c r="AR212"/>
  <c r="AT212" s="1"/>
  <c r="AU212" s="1"/>
  <c r="AR213"/>
  <c r="AT213" s="1"/>
  <c r="AU213" s="1"/>
  <c r="AR214"/>
  <c r="AT214" s="1"/>
  <c r="AU214" s="1"/>
  <c r="AR215"/>
  <c r="AT215" s="1"/>
  <c r="AU215" s="1"/>
  <c r="AR216"/>
  <c r="AT216" s="1"/>
  <c r="AU216" s="1"/>
  <c r="AR217"/>
  <c r="AT217" s="1"/>
  <c r="AU217" s="1"/>
  <c r="AR218"/>
  <c r="AT218" s="1"/>
  <c r="AU218" s="1"/>
  <c r="AR219"/>
  <c r="AT219" s="1"/>
  <c r="AU219" s="1"/>
  <c r="AR220"/>
  <c r="AT220" s="1"/>
  <c r="AU220" s="1"/>
  <c r="AK242" i="4"/>
  <c r="AL242"/>
  <c r="AR8" i="5"/>
  <c r="AT8" s="1"/>
  <c r="AU8" s="1"/>
  <c r="AR9"/>
  <c r="AT9" s="1"/>
  <c r="AU9" s="1"/>
  <c r="AR10"/>
  <c r="AT10" s="1"/>
  <c r="AU10" s="1"/>
  <c r="AR11"/>
  <c r="AT11" s="1"/>
  <c r="AU11" s="1"/>
  <c r="AR12"/>
  <c r="AT12" s="1"/>
  <c r="AU12" s="1"/>
  <c r="AR13"/>
  <c r="AT13" s="1"/>
  <c r="AU13" s="1"/>
  <c r="AR15"/>
  <c r="AT15" s="1"/>
  <c r="AU15" s="1"/>
  <c r="AR16"/>
  <c r="AT16" s="1"/>
  <c r="AU16" s="1"/>
  <c r="AR18"/>
  <c r="AT18" s="1"/>
  <c r="AU18" s="1"/>
  <c r="AR20"/>
  <c r="AT20" s="1"/>
  <c r="AU20" s="1"/>
  <c r="AR21"/>
  <c r="AT21" s="1"/>
  <c r="AU21" s="1"/>
  <c r="AR22"/>
  <c r="AT22" s="1"/>
  <c r="AU22" s="1"/>
  <c r="AR23"/>
  <c r="AT23" s="1"/>
  <c r="AU23" s="1"/>
  <c r="AR24"/>
  <c r="AT24" s="1"/>
  <c r="AU24" s="1"/>
  <c r="AR25"/>
  <c r="AT25" s="1"/>
  <c r="AU25" s="1"/>
  <c r="AR26"/>
  <c r="AT26" s="1"/>
  <c r="AU26" s="1"/>
  <c r="AR27"/>
  <c r="AT27" s="1"/>
  <c r="AU27" s="1"/>
  <c r="AR28"/>
  <c r="AT28" s="1"/>
  <c r="AU28" s="1"/>
  <c r="AR29"/>
  <c r="AT29" s="1"/>
  <c r="AU29" s="1"/>
  <c r="AR30"/>
  <c r="AT30" s="1"/>
  <c r="AU30" s="1"/>
  <c r="AR31"/>
  <c r="AT31" s="1"/>
  <c r="AU31" s="1"/>
  <c r="AR32"/>
  <c r="AT32" s="1"/>
  <c r="AU32" s="1"/>
  <c r="AR33"/>
  <c r="AT33" s="1"/>
  <c r="AU33" s="1"/>
  <c r="AR34"/>
  <c r="AT34" s="1"/>
  <c r="AU34" s="1"/>
  <c r="AR35"/>
  <c r="AT35" s="1"/>
  <c r="AR7"/>
  <c r="AR52"/>
  <c r="AT52" s="1"/>
  <c r="AU52" s="1"/>
  <c r="AR54"/>
  <c r="AT54" s="1"/>
  <c r="AU54" s="1"/>
  <c r="AR56"/>
  <c r="AT56" s="1"/>
  <c r="AU56" s="1"/>
  <c r="AR58"/>
  <c r="AT58" s="1"/>
  <c r="AU58" s="1"/>
  <c r="AR60"/>
  <c r="AT60" s="1"/>
  <c r="AU60" s="1"/>
  <c r="AR62"/>
  <c r="AT62" s="1"/>
  <c r="AU62" s="1"/>
  <c r="AR64"/>
  <c r="AT64" s="1"/>
  <c r="AU64" s="1"/>
  <c r="AR66"/>
  <c r="AT66" s="1"/>
  <c r="AU66" s="1"/>
  <c r="AR68"/>
  <c r="AT68" s="1"/>
  <c r="AU68" s="1"/>
  <c r="AR70"/>
  <c r="AT70" s="1"/>
  <c r="AU70" s="1"/>
  <c r="AR72"/>
  <c r="AT72" s="1"/>
  <c r="AU72" s="1"/>
  <c r="AR51"/>
  <c r="AR151"/>
  <c r="AT151" s="1"/>
  <c r="AU151" s="1"/>
  <c r="AR182"/>
  <c r="AT182" s="1"/>
  <c r="AU182" s="1"/>
  <c r="AR147"/>
  <c r="AT147" s="1"/>
  <c r="AU147" s="1"/>
  <c r="AR153"/>
  <c r="AT153" s="1"/>
  <c r="AU153" s="1"/>
  <c r="AR158"/>
  <c r="AT158" s="1"/>
  <c r="AU158" s="1"/>
  <c r="AR160"/>
  <c r="AT160" s="1"/>
  <c r="AU160" s="1"/>
  <c r="AR163"/>
  <c r="AT163" s="1"/>
  <c r="AU163" s="1"/>
  <c r="AS148"/>
  <c r="BB148" s="1"/>
  <c r="AS158"/>
  <c r="BB158" s="1"/>
  <c r="AR183"/>
  <c r="AT183" s="1"/>
  <c r="AU183" s="1"/>
  <c r="AS156"/>
  <c r="BB156" s="1"/>
  <c r="AJ109" i="4"/>
  <c r="AP188"/>
  <c r="AM133"/>
  <c r="AM166"/>
  <c r="AV150"/>
  <c r="AW150" s="1"/>
  <c r="AN242"/>
  <c r="AM74"/>
  <c r="AM109"/>
  <c r="AM188"/>
  <c r="AO242"/>
  <c r="AI109"/>
  <c r="AQ188"/>
  <c r="AV214"/>
  <c r="AW214" s="1"/>
  <c r="AI166"/>
  <c r="AI41"/>
  <c r="AJ41"/>
  <c r="AM222"/>
  <c r="O14" i="2"/>
  <c r="O14" i="3" s="1"/>
  <c r="O166" i="4"/>
  <c r="O166" i="5" s="1"/>
  <c r="AE188" i="4"/>
  <c r="AD188"/>
  <c r="AD188" i="5" s="1"/>
  <c r="AE133" i="4"/>
  <c r="AD133"/>
  <c r="AE109"/>
  <c r="AD109"/>
  <c r="AD109" i="5" s="1"/>
  <c r="AE74" i="4"/>
  <c r="AE41"/>
  <c r="AD41"/>
  <c r="AD41" i="5" s="1"/>
  <c r="O188" i="4"/>
  <c r="O188" i="5" s="1"/>
  <c r="O109" i="4"/>
  <c r="O109" i="5" s="1"/>
  <c r="O74" i="4"/>
  <c r="O74" i="5" s="1"/>
  <c r="O11" i="2"/>
  <c r="O11" i="3" s="1"/>
  <c r="AD166" i="4"/>
  <c r="AE166"/>
  <c r="V8"/>
  <c r="W8" s="1"/>
  <c r="V9"/>
  <c r="W9" s="1"/>
  <c r="V10"/>
  <c r="W10" s="1"/>
  <c r="Y199" i="5"/>
  <c r="Y200"/>
  <c r="Y201"/>
  <c r="Y202"/>
  <c r="Y203"/>
  <c r="Y204"/>
  <c r="Y205"/>
  <c r="Y206"/>
  <c r="Y207"/>
  <c r="Y208"/>
  <c r="Y209"/>
  <c r="Y210"/>
  <c r="Y211"/>
  <c r="Y212"/>
  <c r="Y213"/>
  <c r="Y214"/>
  <c r="Y198"/>
  <c r="Y180"/>
  <c r="Y181"/>
  <c r="Y182"/>
  <c r="Y183"/>
  <c r="Y184"/>
  <c r="Y185"/>
  <c r="Y187"/>
  <c r="Y179"/>
  <c r="Y147"/>
  <c r="Y148"/>
  <c r="Y149"/>
  <c r="Y150"/>
  <c r="Y151"/>
  <c r="Y152"/>
  <c r="Y153"/>
  <c r="Y154"/>
  <c r="Y155"/>
  <c r="Y156"/>
  <c r="Y157"/>
  <c r="Y158"/>
  <c r="Y159"/>
  <c r="Y160"/>
  <c r="Y161"/>
  <c r="Y162"/>
  <c r="Y163"/>
  <c r="Y164"/>
  <c r="Y146"/>
  <c r="Y121"/>
  <c r="Y122"/>
  <c r="Y123"/>
  <c r="Y124"/>
  <c r="Y125"/>
  <c r="Y126"/>
  <c r="Y127"/>
  <c r="Y129"/>
  <c r="Y130"/>
  <c r="Y131"/>
  <c r="Y86"/>
  <c r="Y87"/>
  <c r="Y88"/>
  <c r="Y89"/>
  <c r="Y90"/>
  <c r="Y92"/>
  <c r="Y93"/>
  <c r="Y94"/>
  <c r="Y95"/>
  <c r="Y96"/>
  <c r="Y97"/>
  <c r="Y98"/>
  <c r="Y99"/>
  <c r="Y100"/>
  <c r="Y101"/>
  <c r="Y102"/>
  <c r="Y103"/>
  <c r="Y104"/>
  <c r="Y58"/>
  <c r="Y59"/>
  <c r="Y60"/>
  <c r="Y61"/>
  <c r="Y62"/>
  <c r="Y63"/>
  <c r="Y64"/>
  <c r="Y65"/>
  <c r="Y66"/>
  <c r="Y67"/>
  <c r="Y68"/>
  <c r="Y69"/>
  <c r="Y70"/>
  <c r="Y71"/>
  <c r="Y52"/>
  <c r="Y53"/>
  <c r="Y54"/>
  <c r="Y55"/>
  <c r="Y56"/>
  <c r="Y57"/>
  <c r="Y24"/>
  <c r="Y25"/>
  <c r="Z25" s="1"/>
  <c r="Y26"/>
  <c r="Y27"/>
  <c r="Y28"/>
  <c r="Y29"/>
  <c r="Y30"/>
  <c r="Y31"/>
  <c r="Y32"/>
  <c r="Y33"/>
  <c r="Z34"/>
  <c r="Y23"/>
  <c r="Y21"/>
  <c r="Y14"/>
  <c r="Y15"/>
  <c r="Y16"/>
  <c r="Y18"/>
  <c r="Y19"/>
  <c r="Y13"/>
  <c r="Y8"/>
  <c r="Y9"/>
  <c r="Y10"/>
  <c r="AW242"/>
  <c r="AR242"/>
  <c r="AQ242"/>
  <c r="AP242"/>
  <c r="AN242"/>
  <c r="AL242"/>
  <c r="AK242"/>
  <c r="AJ242"/>
  <c r="AT241"/>
  <c r="AN241"/>
  <c r="AS240"/>
  <c r="AN240"/>
  <c r="AM240"/>
  <c r="AT240" s="1"/>
  <c r="AS239"/>
  <c r="AN239"/>
  <c r="AM239"/>
  <c r="AT239" s="1"/>
  <c r="AS238"/>
  <c r="AN238"/>
  <c r="AM238"/>
  <c r="AT238" s="1"/>
  <c r="AS237"/>
  <c r="AN237"/>
  <c r="AM237"/>
  <c r="AT237" s="1"/>
  <c r="AS236"/>
  <c r="AN236"/>
  <c r="AM236"/>
  <c r="AT236" s="1"/>
  <c r="AS235"/>
  <c r="AN235"/>
  <c r="AM235"/>
  <c r="AT235" s="1"/>
  <c r="AT234"/>
  <c r="AN234"/>
  <c r="AS233"/>
  <c r="AN233"/>
  <c r="AM233"/>
  <c r="AT233" s="1"/>
  <c r="AS232"/>
  <c r="AN232"/>
  <c r="AM232"/>
  <c r="AT232" s="1"/>
  <c r="AS231"/>
  <c r="AN231"/>
  <c r="AM231"/>
  <c r="AT231" s="1"/>
  <c r="AS230"/>
  <c r="AN230"/>
  <c r="AM230"/>
  <c r="AT229"/>
  <c r="AN229"/>
  <c r="AT228"/>
  <c r="AN228"/>
  <c r="AL166"/>
  <c r="AL244" s="1"/>
  <c r="AK166"/>
  <c r="AK244" s="1"/>
  <c r="AA241" i="4"/>
  <c r="AA242" i="5" s="1"/>
  <c r="AA222" i="4"/>
  <c r="AA222" i="5" s="1"/>
  <c r="AA188" i="4"/>
  <c r="AA188" i="5" s="1"/>
  <c r="AB14" i="4"/>
  <c r="S101"/>
  <c r="S99"/>
  <c r="T99" s="1"/>
  <c r="S100"/>
  <c r="T100" s="1"/>
  <c r="Y100"/>
  <c r="Z100" s="1"/>
  <c r="Y101"/>
  <c r="AB101"/>
  <c r="Y30"/>
  <c r="Z30" s="1"/>
  <c r="Y31"/>
  <c r="Z31" s="1"/>
  <c r="Y32"/>
  <c r="Z32" s="1"/>
  <c r="Y33"/>
  <c r="Z33" s="1"/>
  <c r="Y34"/>
  <c r="Z34" s="1"/>
  <c r="Y18"/>
  <c r="Z18" s="1"/>
  <c r="Y20"/>
  <c r="Y21"/>
  <c r="Z21" s="1"/>
  <c r="Y23"/>
  <c r="Z23" s="1"/>
  <c r="Y8"/>
  <c r="Z8" s="1"/>
  <c r="Y9"/>
  <c r="Z9" s="1"/>
  <c r="Y10"/>
  <c r="Z10" s="1"/>
  <c r="Y13"/>
  <c r="Z13" s="1"/>
  <c r="Y14"/>
  <c r="Z14" s="1"/>
  <c r="Y15"/>
  <c r="Z15" s="1"/>
  <c r="Y16"/>
  <c r="Z16" s="1"/>
  <c r="Y120"/>
  <c r="Y121"/>
  <c r="Z121" s="1"/>
  <c r="Y94"/>
  <c r="Z94" s="1"/>
  <c r="Y95"/>
  <c r="Z95" s="1"/>
  <c r="Y96"/>
  <c r="Z96" s="1"/>
  <c r="Y97"/>
  <c r="Z97" s="1"/>
  <c r="Y98"/>
  <c r="Y99"/>
  <c r="Z99" s="1"/>
  <c r="Y103"/>
  <c r="Y104"/>
  <c r="Z104" s="1"/>
  <c r="Y123"/>
  <c r="Z123" s="1"/>
  <c r="AB208"/>
  <c r="AB210"/>
  <c r="AC210" s="1"/>
  <c r="AB157"/>
  <c r="AC157" s="1"/>
  <c r="AB108"/>
  <c r="AC108" s="1"/>
  <c r="AB122"/>
  <c r="AC122" s="1"/>
  <c r="AB132"/>
  <c r="AC132" s="1"/>
  <c r="AB38"/>
  <c r="AC38" s="1"/>
  <c r="AB227"/>
  <c r="AB228"/>
  <c r="AB233"/>
  <c r="AB240"/>
  <c r="Y199"/>
  <c r="Z199" s="1"/>
  <c r="Y200"/>
  <c r="Z200" s="1"/>
  <c r="Y201"/>
  <c r="Z201" s="1"/>
  <c r="Y202"/>
  <c r="Z202" s="1"/>
  <c r="Y203"/>
  <c r="Y204"/>
  <c r="Y205"/>
  <c r="Y206"/>
  <c r="Z206" s="1"/>
  <c r="Y207"/>
  <c r="Y208"/>
  <c r="Y209"/>
  <c r="Z209" s="1"/>
  <c r="Y210"/>
  <c r="Y211"/>
  <c r="Z211" s="1"/>
  <c r="Y213"/>
  <c r="Z213" s="1"/>
  <c r="Y214"/>
  <c r="Y215"/>
  <c r="Y198"/>
  <c r="Z198" s="1"/>
  <c r="Y180"/>
  <c r="Z180" s="1"/>
  <c r="Y181"/>
  <c r="Z181" s="1"/>
  <c r="Y182"/>
  <c r="Z182" s="1"/>
  <c r="Y183"/>
  <c r="Z183" s="1"/>
  <c r="Y184"/>
  <c r="Z184" s="1"/>
  <c r="Y185"/>
  <c r="Z185" s="1"/>
  <c r="Y187"/>
  <c r="Z187" s="1"/>
  <c r="Y179"/>
  <c r="Z179" s="1"/>
  <c r="Y147"/>
  <c r="Z147" s="1"/>
  <c r="Y148"/>
  <c r="Z148" s="1"/>
  <c r="Y150"/>
  <c r="Z150" s="1"/>
  <c r="Y151"/>
  <c r="Z151" s="1"/>
  <c r="Y152"/>
  <c r="Z152" s="1"/>
  <c r="Y153"/>
  <c r="Z153" s="1"/>
  <c r="Y154"/>
  <c r="Z154" s="1"/>
  <c r="Y155"/>
  <c r="Z155" s="1"/>
  <c r="Y156"/>
  <c r="Z156" s="1"/>
  <c r="Y157"/>
  <c r="Z157" s="1"/>
  <c r="Y158"/>
  <c r="Z158" s="1"/>
  <c r="Y159"/>
  <c r="Z159" s="1"/>
  <c r="Y160"/>
  <c r="Z160" s="1"/>
  <c r="Y161"/>
  <c r="Z161" s="1"/>
  <c r="Y162"/>
  <c r="Z162" s="1"/>
  <c r="Y163"/>
  <c r="Z163" s="1"/>
  <c r="Y165"/>
  <c r="Z165" s="1"/>
  <c r="Y146"/>
  <c r="Z146" s="1"/>
  <c r="Y122"/>
  <c r="Z122" s="1"/>
  <c r="Y124"/>
  <c r="Z124" s="1"/>
  <c r="Y125"/>
  <c r="Z125" s="1"/>
  <c r="Y126"/>
  <c r="Z126" s="1"/>
  <c r="Y127"/>
  <c r="Y129"/>
  <c r="Z129" s="1"/>
  <c r="Y130"/>
  <c r="Y131"/>
  <c r="Y132"/>
  <c r="Y86"/>
  <c r="Z86" s="1"/>
  <c r="Y87"/>
  <c r="Z87" s="1"/>
  <c r="Y88"/>
  <c r="Z88" s="1"/>
  <c r="Y89"/>
  <c r="Z89" s="1"/>
  <c r="Y90"/>
  <c r="Z90" s="1"/>
  <c r="Y92"/>
  <c r="Z92" s="1"/>
  <c r="Y93"/>
  <c r="Z93" s="1"/>
  <c r="Y105"/>
  <c r="Y108"/>
  <c r="Y85"/>
  <c r="Z85" s="1"/>
  <c r="Y52"/>
  <c r="Z52" s="1"/>
  <c r="Y53"/>
  <c r="Z53" s="1"/>
  <c r="Y54"/>
  <c r="Z54" s="1"/>
  <c r="Y55"/>
  <c r="Z55" s="1"/>
  <c r="Y56"/>
  <c r="Z56" s="1"/>
  <c r="Y57"/>
  <c r="Z57" s="1"/>
  <c r="Y58"/>
  <c r="Z58" s="1"/>
  <c r="Y60"/>
  <c r="Z60" s="1"/>
  <c r="Y61"/>
  <c r="Z61" s="1"/>
  <c r="Y62"/>
  <c r="Y63"/>
  <c r="Z63" s="1"/>
  <c r="Y64"/>
  <c r="Z64" s="1"/>
  <c r="Y66"/>
  <c r="Z66" s="1"/>
  <c r="Y67"/>
  <c r="Z67" s="1"/>
  <c r="Y68"/>
  <c r="Z68" s="1"/>
  <c r="Y69"/>
  <c r="Z69" s="1"/>
  <c r="Y71"/>
  <c r="Z71" s="1"/>
  <c r="Y72"/>
  <c r="Y51"/>
  <c r="Z51" s="1"/>
  <c r="Y38"/>
  <c r="Y24"/>
  <c r="Z24" s="1"/>
  <c r="Y25"/>
  <c r="Z25" s="1"/>
  <c r="Y26"/>
  <c r="Z26" s="1"/>
  <c r="Y27"/>
  <c r="Z27" s="1"/>
  <c r="Y28"/>
  <c r="Z28" s="1"/>
  <c r="Y29"/>
  <c r="Z29" s="1"/>
  <c r="Y7"/>
  <c r="Z7" s="1"/>
  <c r="U11" i="2"/>
  <c r="U11" i="3" s="1"/>
  <c r="X222" i="4"/>
  <c r="X222" i="5" s="1"/>
  <c r="X188" i="4"/>
  <c r="X188" i="5" s="1"/>
  <c r="X166" i="4"/>
  <c r="X166" i="5" s="1"/>
  <c r="X168" s="1"/>
  <c r="X133" i="4"/>
  <c r="X109"/>
  <c r="AB87"/>
  <c r="AC87" s="1"/>
  <c r="AB105"/>
  <c r="AB120"/>
  <c r="AC120" s="1"/>
  <c r="AB230"/>
  <c r="AB231"/>
  <c r="AB232"/>
  <c r="AB234"/>
  <c r="AB235"/>
  <c r="AB236"/>
  <c r="AB237"/>
  <c r="AB238"/>
  <c r="AB239"/>
  <c r="AB207"/>
  <c r="AC207" s="1"/>
  <c r="AB229"/>
  <c r="AB159"/>
  <c r="AC159" s="1"/>
  <c r="AB160"/>
  <c r="AC160" s="1"/>
  <c r="AB161"/>
  <c r="AC161" s="1"/>
  <c r="AB162"/>
  <c r="AC162" s="1"/>
  <c r="AB163"/>
  <c r="AC163" s="1"/>
  <c r="AB180"/>
  <c r="AC180" s="1"/>
  <c r="AB182"/>
  <c r="AC182" s="1"/>
  <c r="AB184"/>
  <c r="AC184" s="1"/>
  <c r="AB187"/>
  <c r="AC187" s="1"/>
  <c r="AB199"/>
  <c r="AC199" s="1"/>
  <c r="AB203"/>
  <c r="AB204"/>
  <c r="AB205"/>
  <c r="AB206"/>
  <c r="AC206" s="1"/>
  <c r="AB209"/>
  <c r="AC209" s="1"/>
  <c r="AB211"/>
  <c r="AC211" s="1"/>
  <c r="AB213"/>
  <c r="AC213" s="1"/>
  <c r="AB214"/>
  <c r="AC214" s="1"/>
  <c r="AB215"/>
  <c r="AC215" s="1"/>
  <c r="AB154"/>
  <c r="AC154" s="1"/>
  <c r="AB155"/>
  <c r="AC155" s="1"/>
  <c r="AB156"/>
  <c r="AC156" s="1"/>
  <c r="AB123"/>
  <c r="AC123" s="1"/>
  <c r="AB100"/>
  <c r="AC100" s="1"/>
  <c r="AB86"/>
  <c r="AC86" s="1"/>
  <c r="AB66"/>
  <c r="AC66" s="1"/>
  <c r="AB67"/>
  <c r="AC67" s="1"/>
  <c r="AB7"/>
  <c r="AC7" s="1"/>
  <c r="AB8"/>
  <c r="AC8" s="1"/>
  <c r="AB9"/>
  <c r="AC9" s="1"/>
  <c r="AB10"/>
  <c r="AC10" s="1"/>
  <c r="AB13"/>
  <c r="AC13" s="1"/>
  <c r="AB15"/>
  <c r="AC15" s="1"/>
  <c r="AB16"/>
  <c r="AC16" s="1"/>
  <c r="AB18"/>
  <c r="AC18" s="1"/>
  <c r="AB20"/>
  <c r="AC20" s="1"/>
  <c r="AB21"/>
  <c r="AC21" s="1"/>
  <c r="AB22"/>
  <c r="AB23"/>
  <c r="AC23" s="1"/>
  <c r="AB24"/>
  <c r="AC24" s="1"/>
  <c r="AB25"/>
  <c r="AC25" s="1"/>
  <c r="AB26"/>
  <c r="AC26" s="1"/>
  <c r="AB27"/>
  <c r="AC27" s="1"/>
  <c r="AB28"/>
  <c r="AC28" s="1"/>
  <c r="AB29"/>
  <c r="AC29" s="1"/>
  <c r="AB30"/>
  <c r="AC30" s="1"/>
  <c r="AB31"/>
  <c r="AC31" s="1"/>
  <c r="AB32"/>
  <c r="AC32" s="1"/>
  <c r="AB33"/>
  <c r="AC33" s="1"/>
  <c r="AB34"/>
  <c r="AC34" s="1"/>
  <c r="U222"/>
  <c r="U222" i="5" s="1"/>
  <c r="U188" i="4"/>
  <c r="U188" i="5" s="1"/>
  <c r="U14" i="2"/>
  <c r="U14" i="3" s="1"/>
  <c r="U13" i="2"/>
  <c r="U13" i="3" s="1"/>
  <c r="U12" i="2"/>
  <c r="U12" i="3" s="1"/>
  <c r="R188" i="4"/>
  <c r="R188" i="5" s="1"/>
  <c r="L188" i="4"/>
  <c r="L188" i="5" s="1"/>
  <c r="L166" i="4"/>
  <c r="L166" i="5" s="1"/>
  <c r="AA17" i="3"/>
  <c r="R14" i="2"/>
  <c r="R14" i="3" s="1"/>
  <c r="N18" i="2"/>
  <c r="M18"/>
  <c r="N17"/>
  <c r="M17"/>
  <c r="N11"/>
  <c r="N12"/>
  <c r="N13"/>
  <c r="N14"/>
  <c r="N15"/>
  <c r="N16"/>
  <c r="M11"/>
  <c r="M12"/>
  <c r="M13"/>
  <c r="M14"/>
  <c r="M15"/>
  <c r="M16"/>
  <c r="V7" i="4"/>
  <c r="W7" s="1"/>
  <c r="V71"/>
  <c r="V52"/>
  <c r="W52" s="1"/>
  <c r="V53"/>
  <c r="W53" s="1"/>
  <c r="V54"/>
  <c r="W54" s="1"/>
  <c r="V55"/>
  <c r="W55" s="1"/>
  <c r="V56"/>
  <c r="W56" s="1"/>
  <c r="V57"/>
  <c r="W57" s="1"/>
  <c r="V58"/>
  <c r="W58" s="1"/>
  <c r="V60"/>
  <c r="W60" s="1"/>
  <c r="V61"/>
  <c r="W61" s="1"/>
  <c r="V63"/>
  <c r="W63" s="1"/>
  <c r="V64"/>
  <c r="W64" s="1"/>
  <c r="V66"/>
  <c r="W66" s="1"/>
  <c r="V67"/>
  <c r="W67" s="1"/>
  <c r="V68"/>
  <c r="W68" s="1"/>
  <c r="V69"/>
  <c r="W69" s="1"/>
  <c r="V59"/>
  <c r="V62"/>
  <c r="V65"/>
  <c r="S52"/>
  <c r="T52" s="1"/>
  <c r="S53"/>
  <c r="T53" s="1"/>
  <c r="S54"/>
  <c r="T54" s="1"/>
  <c r="S55"/>
  <c r="T55" s="1"/>
  <c r="S56"/>
  <c r="T56" s="1"/>
  <c r="S58"/>
  <c r="T58" s="1"/>
  <c r="S60"/>
  <c r="T60" s="1"/>
  <c r="S61"/>
  <c r="T61" s="1"/>
  <c r="S63"/>
  <c r="T63" s="1"/>
  <c r="S64"/>
  <c r="T64" s="1"/>
  <c r="S66"/>
  <c r="T66" s="1"/>
  <c r="S67"/>
  <c r="T67" s="1"/>
  <c r="S68"/>
  <c r="T68" s="1"/>
  <c r="S69"/>
  <c r="T69" s="1"/>
  <c r="P52"/>
  <c r="Q52" s="1"/>
  <c r="P53"/>
  <c r="Q53" s="1"/>
  <c r="P54"/>
  <c r="Q54" s="1"/>
  <c r="P55"/>
  <c r="Q55" s="1"/>
  <c r="P56"/>
  <c r="Q56" s="1"/>
  <c r="P58"/>
  <c r="Q58" s="1"/>
  <c r="P59"/>
  <c r="Q59" s="1"/>
  <c r="P60"/>
  <c r="Q60" s="1"/>
  <c r="P61"/>
  <c r="Q61" s="1"/>
  <c r="P63"/>
  <c r="Q63" s="1"/>
  <c r="P64"/>
  <c r="Q64" s="1"/>
  <c r="P66"/>
  <c r="Q66" s="1"/>
  <c r="P67"/>
  <c r="Q67" s="1"/>
  <c r="Q68"/>
  <c r="P69"/>
  <c r="Q69" s="1"/>
  <c r="S214"/>
  <c r="V214"/>
  <c r="V103"/>
  <c r="S103"/>
  <c r="P103"/>
  <c r="V102"/>
  <c r="S102"/>
  <c r="P102"/>
  <c r="S62"/>
  <c r="P62"/>
  <c r="P214"/>
  <c r="V162"/>
  <c r="W162" s="1"/>
  <c r="S162"/>
  <c r="T162" s="1"/>
  <c r="P162"/>
  <c r="Q162" s="1"/>
  <c r="V127"/>
  <c r="P127"/>
  <c r="S127"/>
  <c r="S213"/>
  <c r="V182"/>
  <c r="S182"/>
  <c r="P182"/>
  <c r="S212"/>
  <c r="P212"/>
  <c r="Q212" s="1"/>
  <c r="P206"/>
  <c r="P207"/>
  <c r="P208"/>
  <c r="P209"/>
  <c r="P210"/>
  <c r="P211"/>
  <c r="P213"/>
  <c r="S165"/>
  <c r="P161"/>
  <c r="Q161" s="1"/>
  <c r="P101"/>
  <c r="Q101" s="1"/>
  <c r="P104"/>
  <c r="S59"/>
  <c r="V213"/>
  <c r="W213" s="1"/>
  <c r="V212"/>
  <c r="V211"/>
  <c r="W211" s="1"/>
  <c r="V210"/>
  <c r="V209"/>
  <c r="W209" s="1"/>
  <c r="V208"/>
  <c r="V207"/>
  <c r="V206"/>
  <c r="W206" s="1"/>
  <c r="V205"/>
  <c r="V204"/>
  <c r="V203"/>
  <c r="V202"/>
  <c r="W202" s="1"/>
  <c r="V201"/>
  <c r="W201" s="1"/>
  <c r="V200"/>
  <c r="W200" s="1"/>
  <c r="V199"/>
  <c r="W199" s="1"/>
  <c r="V198"/>
  <c r="W198" s="1"/>
  <c r="V187"/>
  <c r="W187" s="1"/>
  <c r="V185"/>
  <c r="W185" s="1"/>
  <c r="V184"/>
  <c r="W184" s="1"/>
  <c r="V183"/>
  <c r="W183" s="1"/>
  <c r="V181"/>
  <c r="W181" s="1"/>
  <c r="V180"/>
  <c r="V179"/>
  <c r="W179" s="1"/>
  <c r="V165"/>
  <c r="V161"/>
  <c r="W161" s="1"/>
  <c r="V160"/>
  <c r="W160" s="1"/>
  <c r="V159"/>
  <c r="W159" s="1"/>
  <c r="V158"/>
  <c r="W158" s="1"/>
  <c r="V157"/>
  <c r="W157" s="1"/>
  <c r="V156"/>
  <c r="W156" s="1"/>
  <c r="V155"/>
  <c r="W155" s="1"/>
  <c r="V154"/>
  <c r="W154" s="1"/>
  <c r="V153"/>
  <c r="W153" s="1"/>
  <c r="V152"/>
  <c r="W152" s="1"/>
  <c r="V151"/>
  <c r="W151" s="1"/>
  <c r="V150"/>
  <c r="W150" s="1"/>
  <c r="V148"/>
  <c r="W148" s="1"/>
  <c r="V147"/>
  <c r="W147" s="1"/>
  <c r="V146"/>
  <c r="W146" s="1"/>
  <c r="V126"/>
  <c r="W126" s="1"/>
  <c r="V125"/>
  <c r="W125" s="1"/>
  <c r="V124"/>
  <c r="W124" s="1"/>
  <c r="V123"/>
  <c r="W123" s="1"/>
  <c r="V122"/>
  <c r="W122" s="1"/>
  <c r="V121"/>
  <c r="W121" s="1"/>
  <c r="V104"/>
  <c r="W104" s="1"/>
  <c r="V101"/>
  <c r="V100"/>
  <c r="W100" s="1"/>
  <c r="V99"/>
  <c r="W99" s="1"/>
  <c r="V98"/>
  <c r="V97"/>
  <c r="W97" s="1"/>
  <c r="V96"/>
  <c r="W96" s="1"/>
  <c r="V95"/>
  <c r="W95" s="1"/>
  <c r="V94"/>
  <c r="W94" s="1"/>
  <c r="V93"/>
  <c r="W93" s="1"/>
  <c r="V92"/>
  <c r="W92" s="1"/>
  <c r="V90"/>
  <c r="W90" s="1"/>
  <c r="V89"/>
  <c r="W89" s="1"/>
  <c r="V88"/>
  <c r="W88" s="1"/>
  <c r="V87"/>
  <c r="W87" s="1"/>
  <c r="V86"/>
  <c r="W86" s="1"/>
  <c r="V85"/>
  <c r="W85" s="1"/>
  <c r="V51"/>
  <c r="W51" s="1"/>
  <c r="V34"/>
  <c r="W34" s="1"/>
  <c r="V33"/>
  <c r="W33" s="1"/>
  <c r="V32"/>
  <c r="W32" s="1"/>
  <c r="V31"/>
  <c r="W31" s="1"/>
  <c r="V30"/>
  <c r="W30" s="1"/>
  <c r="V29"/>
  <c r="W29" s="1"/>
  <c r="V28"/>
  <c r="W28" s="1"/>
  <c r="V27"/>
  <c r="W27" s="1"/>
  <c r="V26"/>
  <c r="W26" s="1"/>
  <c r="V25"/>
  <c r="W25" s="1"/>
  <c r="V24"/>
  <c r="W24" s="1"/>
  <c r="V23"/>
  <c r="W23" s="1"/>
  <c r="V21"/>
  <c r="W21" s="1"/>
  <c r="V18"/>
  <c r="W18" s="1"/>
  <c r="V16"/>
  <c r="W16" s="1"/>
  <c r="V15"/>
  <c r="W15" s="1"/>
  <c r="V14"/>
  <c r="W14" s="1"/>
  <c r="V13"/>
  <c r="W13" s="1"/>
  <c r="S8"/>
  <c r="T8" s="1"/>
  <c r="S9"/>
  <c r="T9" s="1"/>
  <c r="S10"/>
  <c r="T10" s="1"/>
  <c r="S13"/>
  <c r="T13" s="1"/>
  <c r="S14"/>
  <c r="T14" s="1"/>
  <c r="S15"/>
  <c r="T15" s="1"/>
  <c r="S16"/>
  <c r="T16" s="1"/>
  <c r="S18"/>
  <c r="T18" s="1"/>
  <c r="S21"/>
  <c r="T21" s="1"/>
  <c r="S23"/>
  <c r="T23" s="1"/>
  <c r="S24"/>
  <c r="T24" s="1"/>
  <c r="S25"/>
  <c r="T25" s="1"/>
  <c r="S26"/>
  <c r="T26" s="1"/>
  <c r="S27"/>
  <c r="T27" s="1"/>
  <c r="S28"/>
  <c r="T28" s="1"/>
  <c r="S29"/>
  <c r="T29" s="1"/>
  <c r="S30"/>
  <c r="T30" s="1"/>
  <c r="S31"/>
  <c r="T31" s="1"/>
  <c r="S32"/>
  <c r="T32" s="1"/>
  <c r="S33"/>
  <c r="T33" s="1"/>
  <c r="S34"/>
  <c r="T34" s="1"/>
  <c r="S51"/>
  <c r="T51" s="1"/>
  <c r="S85"/>
  <c r="T85" s="1"/>
  <c r="S86"/>
  <c r="T86" s="1"/>
  <c r="S87"/>
  <c r="T87" s="1"/>
  <c r="S88"/>
  <c r="T88" s="1"/>
  <c r="S89"/>
  <c r="T89" s="1"/>
  <c r="S90"/>
  <c r="T90" s="1"/>
  <c r="S92"/>
  <c r="T92" s="1"/>
  <c r="S93"/>
  <c r="T93" s="1"/>
  <c r="S94"/>
  <c r="T94" s="1"/>
  <c r="S95"/>
  <c r="T95" s="1"/>
  <c r="S96"/>
  <c r="T96" s="1"/>
  <c r="S97"/>
  <c r="T97" s="1"/>
  <c r="S104"/>
  <c r="T104" s="1"/>
  <c r="S121"/>
  <c r="T121" s="1"/>
  <c r="S122"/>
  <c r="T122" s="1"/>
  <c r="S123"/>
  <c r="T123" s="1"/>
  <c r="S124"/>
  <c r="T124" s="1"/>
  <c r="S125"/>
  <c r="T125" s="1"/>
  <c r="S126"/>
  <c r="T126" s="1"/>
  <c r="S146"/>
  <c r="T146" s="1"/>
  <c r="S147"/>
  <c r="T147" s="1"/>
  <c r="S148"/>
  <c r="T148" s="1"/>
  <c r="S150"/>
  <c r="T150" s="1"/>
  <c r="S151"/>
  <c r="T151" s="1"/>
  <c r="S152"/>
  <c r="T152" s="1"/>
  <c r="S153"/>
  <c r="T153" s="1"/>
  <c r="S154"/>
  <c r="T154" s="1"/>
  <c r="S155"/>
  <c r="T155" s="1"/>
  <c r="S156"/>
  <c r="T156" s="1"/>
  <c r="S157"/>
  <c r="T157" s="1"/>
  <c r="S158"/>
  <c r="T158" s="1"/>
  <c r="S159"/>
  <c r="T159" s="1"/>
  <c r="S160"/>
  <c r="T160" s="1"/>
  <c r="S161"/>
  <c r="T161" s="1"/>
  <c r="S179"/>
  <c r="T179" s="1"/>
  <c r="S180"/>
  <c r="T180" s="1"/>
  <c r="S181"/>
  <c r="T181" s="1"/>
  <c r="S183"/>
  <c r="T183" s="1"/>
  <c r="S184"/>
  <c r="T184" s="1"/>
  <c r="S185"/>
  <c r="T185" s="1"/>
  <c r="S187"/>
  <c r="T187" s="1"/>
  <c r="S198"/>
  <c r="T198" s="1"/>
  <c r="S199"/>
  <c r="T199" s="1"/>
  <c r="S200"/>
  <c r="T200" s="1"/>
  <c r="S201"/>
  <c r="T201" s="1"/>
  <c r="S202"/>
  <c r="T202" s="1"/>
  <c r="S203"/>
  <c r="S204"/>
  <c r="S205"/>
  <c r="S206"/>
  <c r="T206" s="1"/>
  <c r="S208"/>
  <c r="T208" s="1"/>
  <c r="S209"/>
  <c r="T209" s="1"/>
  <c r="S210"/>
  <c r="S211"/>
  <c r="T211" s="1"/>
  <c r="S7"/>
  <c r="T7" s="1"/>
  <c r="S57"/>
  <c r="P199"/>
  <c r="Q199" s="1"/>
  <c r="P200"/>
  <c r="Q200" s="1"/>
  <c r="P201"/>
  <c r="Q201" s="1"/>
  <c r="P202"/>
  <c r="Q202" s="1"/>
  <c r="P198"/>
  <c r="Q198" s="1"/>
  <c r="P203"/>
  <c r="P204"/>
  <c r="P205"/>
  <c r="P180"/>
  <c r="Q180" s="1"/>
  <c r="P181"/>
  <c r="Q181" s="1"/>
  <c r="P183"/>
  <c r="Q183" s="1"/>
  <c r="P184"/>
  <c r="Q184" s="1"/>
  <c r="P185"/>
  <c r="Q185" s="1"/>
  <c r="P187"/>
  <c r="Q187" s="1"/>
  <c r="P179"/>
  <c r="Q179" s="1"/>
  <c r="P147"/>
  <c r="Q147" s="1"/>
  <c r="P148"/>
  <c r="Q148" s="1"/>
  <c r="P150"/>
  <c r="Q150" s="1"/>
  <c r="P151"/>
  <c r="Q151" s="1"/>
  <c r="P152"/>
  <c r="Q152" s="1"/>
  <c r="P153"/>
  <c r="Q153" s="1"/>
  <c r="P154"/>
  <c r="Q154" s="1"/>
  <c r="P155"/>
  <c r="Q155" s="1"/>
  <c r="P156"/>
  <c r="Q156" s="1"/>
  <c r="P157"/>
  <c r="Q157" s="1"/>
  <c r="P158"/>
  <c r="Q158" s="1"/>
  <c r="P159"/>
  <c r="Q159" s="1"/>
  <c r="P160"/>
  <c r="Q160" s="1"/>
  <c r="P165"/>
  <c r="Q165" s="1"/>
  <c r="P146"/>
  <c r="Q146" s="1"/>
  <c r="P123"/>
  <c r="Q123" s="1"/>
  <c r="P124"/>
  <c r="Q124" s="1"/>
  <c r="P125"/>
  <c r="Q125" s="1"/>
  <c r="P126"/>
  <c r="Q126" s="1"/>
  <c r="P121"/>
  <c r="Q121" s="1"/>
  <c r="P122"/>
  <c r="P86"/>
  <c r="Q86" s="1"/>
  <c r="P87"/>
  <c r="Q87" s="1"/>
  <c r="P88"/>
  <c r="Q88" s="1"/>
  <c r="P89"/>
  <c r="Q89" s="1"/>
  <c r="P90"/>
  <c r="Q90" s="1"/>
  <c r="P92"/>
  <c r="Q92" s="1"/>
  <c r="P93"/>
  <c r="Q93" s="1"/>
  <c r="P94"/>
  <c r="Q94" s="1"/>
  <c r="P95"/>
  <c r="Q95" s="1"/>
  <c r="P96"/>
  <c r="Q96" s="1"/>
  <c r="P97"/>
  <c r="Q97" s="1"/>
  <c r="P99"/>
  <c r="Q99" s="1"/>
  <c r="P100"/>
  <c r="Q100" s="1"/>
  <c r="P85"/>
  <c r="Q85" s="1"/>
  <c r="P51"/>
  <c r="Q51" s="1"/>
  <c r="P7"/>
  <c r="Q7" s="1"/>
  <c r="P8"/>
  <c r="Q8" s="1"/>
  <c r="P9"/>
  <c r="Q9" s="1"/>
  <c r="P10"/>
  <c r="Q10" s="1"/>
  <c r="P13"/>
  <c r="Q13" s="1"/>
  <c r="P14"/>
  <c r="Q14" s="1"/>
  <c r="P15"/>
  <c r="Q15" s="1"/>
  <c r="P16"/>
  <c r="Q16" s="1"/>
  <c r="P18"/>
  <c r="Q18" s="1"/>
  <c r="P21"/>
  <c r="Q21" s="1"/>
  <c r="P23"/>
  <c r="Q23" s="1"/>
  <c r="P24"/>
  <c r="Q24" s="1"/>
  <c r="P25"/>
  <c r="Q25" s="1"/>
  <c r="P26"/>
  <c r="Q26" s="1"/>
  <c r="P27"/>
  <c r="Q27" s="1"/>
  <c r="P28"/>
  <c r="Q28" s="1"/>
  <c r="P29"/>
  <c r="Q29" s="1"/>
  <c r="P30"/>
  <c r="Q30" s="1"/>
  <c r="P31"/>
  <c r="Q31" s="1"/>
  <c r="P32"/>
  <c r="Q32" s="1"/>
  <c r="P33"/>
  <c r="Q33" s="1"/>
  <c r="P34"/>
  <c r="Q34" s="1"/>
  <c r="R166"/>
  <c r="R166" i="5" s="1"/>
  <c r="U166" i="4"/>
  <c r="U166" i="5" s="1"/>
  <c r="O15" i="2"/>
  <c r="O15" i="3" s="1"/>
  <c r="AB153" i="4"/>
  <c r="AC153" s="1"/>
  <c r="AB151"/>
  <c r="AC151" s="1"/>
  <c r="AB148"/>
  <c r="AC148" s="1"/>
  <c r="AB146"/>
  <c r="AC146" s="1"/>
  <c r="AB130"/>
  <c r="AB127"/>
  <c r="AC127" s="1"/>
  <c r="AB125"/>
  <c r="AC125" s="1"/>
  <c r="AB104"/>
  <c r="AC104" s="1"/>
  <c r="AB102"/>
  <c r="AC102" s="1"/>
  <c r="AB99"/>
  <c r="AC99" s="1"/>
  <c r="AB97"/>
  <c r="AC97" s="1"/>
  <c r="AB95"/>
  <c r="AC95" s="1"/>
  <c r="AB93"/>
  <c r="AC93" s="1"/>
  <c r="AB90"/>
  <c r="AC90" s="1"/>
  <c r="AB88"/>
  <c r="AC88" s="1"/>
  <c r="AB72"/>
  <c r="AB63"/>
  <c r="AC63" s="1"/>
  <c r="AB61"/>
  <c r="AC61" s="1"/>
  <c r="AB57"/>
  <c r="AC57" s="1"/>
  <c r="AB55"/>
  <c r="AC55" s="1"/>
  <c r="AB53"/>
  <c r="AC53" s="1"/>
  <c r="AB51"/>
  <c r="AC51" s="1"/>
  <c r="AB152"/>
  <c r="AC152" s="1"/>
  <c r="AB150"/>
  <c r="AC150" s="1"/>
  <c r="AB147"/>
  <c r="AC147" s="1"/>
  <c r="AB131"/>
  <c r="AC131" s="1"/>
  <c r="AB129"/>
  <c r="AC129" s="1"/>
  <c r="AB126"/>
  <c r="AC126" s="1"/>
  <c r="AB124"/>
  <c r="AC124" s="1"/>
  <c r="AB103"/>
  <c r="AC103" s="1"/>
  <c r="AB98"/>
  <c r="AB96"/>
  <c r="AC96" s="1"/>
  <c r="AB94"/>
  <c r="AC94" s="1"/>
  <c r="AB92"/>
  <c r="AC92" s="1"/>
  <c r="AB89"/>
  <c r="AC89" s="1"/>
  <c r="AB85"/>
  <c r="AC85" s="1"/>
  <c r="AB71"/>
  <c r="AC71" s="1"/>
  <c r="AB69"/>
  <c r="AC69" s="1"/>
  <c r="AB64"/>
  <c r="AC64" s="1"/>
  <c r="AB62"/>
  <c r="AC62" s="1"/>
  <c r="AB60"/>
  <c r="AC60" s="1"/>
  <c r="AB58"/>
  <c r="AC58" s="1"/>
  <c r="AB56"/>
  <c r="AC56" s="1"/>
  <c r="AB54"/>
  <c r="AC54" s="1"/>
  <c r="AB52"/>
  <c r="AC52" s="1"/>
  <c r="AB158"/>
  <c r="AC158" s="1"/>
  <c r="AS74" l="1"/>
  <c r="BM74" s="1"/>
  <c r="BQ74" s="1"/>
  <c r="AV214" i="5"/>
  <c r="AW214" s="1"/>
  <c r="BM182"/>
  <c r="BN182" s="1"/>
  <c r="BV182"/>
  <c r="BM181"/>
  <c r="BN181" s="1"/>
  <c r="BV181"/>
  <c r="BL188"/>
  <c r="AM74"/>
  <c r="AM188"/>
  <c r="AR41"/>
  <c r="AT41" s="1"/>
  <c r="AU41" s="1"/>
  <c r="AS41"/>
  <c r="AR188" i="4"/>
  <c r="AI109" i="5"/>
  <c r="AR155"/>
  <c r="AT155" s="1"/>
  <c r="AU155" s="1"/>
  <c r="AS74"/>
  <c r="AZ76" s="1"/>
  <c r="AJ109"/>
  <c r="X109"/>
  <c r="X133"/>
  <c r="AJ41"/>
  <c r="AM222"/>
  <c r="AM133"/>
  <c r="AM109"/>
  <c r="AM41"/>
  <c r="BB74"/>
  <c r="BF74" s="1"/>
  <c r="AS222"/>
  <c r="BK181"/>
  <c r="AQ133"/>
  <c r="BK126"/>
  <c r="BK133" s="1"/>
  <c r="AQ188"/>
  <c r="BK182"/>
  <c r="BK166"/>
  <c r="Y166" i="4"/>
  <c r="Z166" s="1"/>
  <c r="U17" i="2"/>
  <c r="U17" i="3" s="1"/>
  <c r="U16" i="2"/>
  <c r="U16" i="3" s="1"/>
  <c r="AD168" i="4"/>
  <c r="AD168" i="5" s="1"/>
  <c r="AD166"/>
  <c r="O16" i="2"/>
  <c r="O16" i="3" s="1"/>
  <c r="AD135" i="4"/>
  <c r="AD135" i="5" s="1"/>
  <c r="AD133"/>
  <c r="BB109"/>
  <c r="BB41"/>
  <c r="BF41" s="1"/>
  <c r="BB222"/>
  <c r="BF222" s="1"/>
  <c r="AG220"/>
  <c r="AH220" s="1"/>
  <c r="BC219"/>
  <c r="BC218"/>
  <c r="BC217"/>
  <c r="AS161"/>
  <c r="BB161" s="1"/>
  <c r="AS155"/>
  <c r="BB155" s="1"/>
  <c r="AS151"/>
  <c r="BB151" s="1"/>
  <c r="AS152"/>
  <c r="BB152" s="1"/>
  <c r="AS181"/>
  <c r="BB181" s="1"/>
  <c r="AS179"/>
  <c r="BB179" s="1"/>
  <c r="AJ150"/>
  <c r="AS182"/>
  <c r="BB182" s="1"/>
  <c r="AS180"/>
  <c r="BB180" s="1"/>
  <c r="BC180" s="1"/>
  <c r="AS126"/>
  <c r="AS133" s="1"/>
  <c r="AZ134" s="1"/>
  <c r="AI41"/>
  <c r="O13" i="2"/>
  <c r="O13" i="3" s="1"/>
  <c r="BC150" i="5"/>
  <c r="BC214"/>
  <c r="AV150"/>
  <c r="AP188"/>
  <c r="AP244" s="1"/>
  <c r="AQ166"/>
  <c r="AM242" i="4"/>
  <c r="AG38"/>
  <c r="AH38" s="1"/>
  <c r="AG34"/>
  <c r="AH34" s="1"/>
  <c r="BC34" i="5"/>
  <c r="AG32" i="4"/>
  <c r="AH32" s="1"/>
  <c r="BC32" i="5"/>
  <c r="AG30" i="4"/>
  <c r="AH30" s="1"/>
  <c r="BC30" i="5"/>
  <c r="AG28" i="4"/>
  <c r="AH28" s="1"/>
  <c r="BC28" i="5"/>
  <c r="AG26" i="4"/>
  <c r="AH26" s="1"/>
  <c r="BC26" i="5"/>
  <c r="AG24" i="4"/>
  <c r="AH24" s="1"/>
  <c r="BC24" i="5"/>
  <c r="AG22" i="4"/>
  <c r="AH22" s="1"/>
  <c r="BC22" i="5"/>
  <c r="AG20" i="4"/>
  <c r="AH20" s="1"/>
  <c r="BC20" i="5"/>
  <c r="AG18" i="4"/>
  <c r="AH18" s="1"/>
  <c r="BC18" i="5"/>
  <c r="AG15" i="4"/>
  <c r="AH15" s="1"/>
  <c r="BC15" i="5"/>
  <c r="AG13" i="4"/>
  <c r="AH13" s="1"/>
  <c r="BC13" i="5"/>
  <c r="BC11"/>
  <c r="AG9" i="4"/>
  <c r="AH9" s="1"/>
  <c r="BC9" i="5"/>
  <c r="AG51" i="4"/>
  <c r="AH51" s="1"/>
  <c r="BC51" i="5"/>
  <c r="AG72" i="4"/>
  <c r="AH72" s="1"/>
  <c r="BC72" i="5"/>
  <c r="AG70" i="4"/>
  <c r="AH70" s="1"/>
  <c r="BC70" i="5"/>
  <c r="AG68" i="4"/>
  <c r="AH68" s="1"/>
  <c r="BC68" i="5"/>
  <c r="AG66" i="4"/>
  <c r="AH66" s="1"/>
  <c r="BC66" i="5"/>
  <c r="AG64" i="4"/>
  <c r="AH64" s="1"/>
  <c r="BC64" i="5"/>
  <c r="AG62" i="4"/>
  <c r="AH62" s="1"/>
  <c r="BC62" i="5"/>
  <c r="AG60" i="4"/>
  <c r="AH60" s="1"/>
  <c r="BC60" i="5"/>
  <c r="AG58" i="4"/>
  <c r="AH58" s="1"/>
  <c r="BC58" i="5"/>
  <c r="AG56" i="4"/>
  <c r="AH56" s="1"/>
  <c r="BC56" i="5"/>
  <c r="AG54" i="4"/>
  <c r="AH54" s="1"/>
  <c r="BC54" i="5"/>
  <c r="AG52" i="4"/>
  <c r="AH52" s="1"/>
  <c r="BC52" i="5"/>
  <c r="AG108" i="4"/>
  <c r="AH108" s="1"/>
  <c r="AG104"/>
  <c r="AH104" s="1"/>
  <c r="BC104" i="5"/>
  <c r="AG102" i="4"/>
  <c r="AH102" s="1"/>
  <c r="BC102" i="5"/>
  <c r="AG100" i="4"/>
  <c r="AH100" s="1"/>
  <c r="BC100" i="5"/>
  <c r="AG98" i="4"/>
  <c r="AH98" s="1"/>
  <c r="BC98" i="5"/>
  <c r="AG96" i="4"/>
  <c r="AH96" s="1"/>
  <c r="BC96" i="5"/>
  <c r="AG94" i="4"/>
  <c r="AH94" s="1"/>
  <c r="BC94" i="5"/>
  <c r="AG92" i="4"/>
  <c r="AH92" s="1"/>
  <c r="BC92" i="5"/>
  <c r="AG89" i="4"/>
  <c r="AH89" s="1"/>
  <c r="BC89" i="5"/>
  <c r="AG87" i="4"/>
  <c r="AH87" s="1"/>
  <c r="BC87" i="5"/>
  <c r="AV120" i="4"/>
  <c r="AW120" s="1"/>
  <c r="AG120"/>
  <c r="AH120" s="1"/>
  <c r="BC120" i="5"/>
  <c r="AV131" i="4"/>
  <c r="AW131" s="1"/>
  <c r="AG131"/>
  <c r="AH131" s="1"/>
  <c r="BC131" i="5"/>
  <c r="AV129" i="4"/>
  <c r="AW129" s="1"/>
  <c r="AG129"/>
  <c r="AH129" s="1"/>
  <c r="AV126"/>
  <c r="AW126" s="1"/>
  <c r="AG126"/>
  <c r="AH126" s="1"/>
  <c r="AV124"/>
  <c r="AW124" s="1"/>
  <c r="AG124"/>
  <c r="AH124" s="1"/>
  <c r="AG122"/>
  <c r="AH122" s="1"/>
  <c r="BC122" i="5"/>
  <c r="AJ163" i="4"/>
  <c r="AG163"/>
  <c r="AH163" s="1"/>
  <c r="BC163" i="5"/>
  <c r="AG161" i="4"/>
  <c r="AH161" s="1"/>
  <c r="AG161" i="5"/>
  <c r="AH161" s="1"/>
  <c r="AG159" i="4"/>
  <c r="AH159" s="1"/>
  <c r="BC159" i="5"/>
  <c r="AV156" i="4"/>
  <c r="AW156" s="1"/>
  <c r="AG156"/>
  <c r="AH156" s="1"/>
  <c r="AG156" i="5"/>
  <c r="AH156" s="1"/>
  <c r="AV154" i="4"/>
  <c r="AW154" s="1"/>
  <c r="AG154"/>
  <c r="AH154" s="1"/>
  <c r="BC154" i="5"/>
  <c r="AG152" i="4"/>
  <c r="AH152" s="1"/>
  <c r="AG152" i="5"/>
  <c r="AH152" s="1"/>
  <c r="AG149" i="4"/>
  <c r="AH149" s="1"/>
  <c r="AV147"/>
  <c r="AW147" s="1"/>
  <c r="AG147"/>
  <c r="AH147" s="1"/>
  <c r="BC147" i="5"/>
  <c r="AG187" i="4"/>
  <c r="AH187" s="1"/>
  <c r="BC187" i="5"/>
  <c r="AG184" i="4"/>
  <c r="AH184" s="1"/>
  <c r="BC184" i="5"/>
  <c r="AG182" i="4"/>
  <c r="AH182" s="1"/>
  <c r="AG180"/>
  <c r="AH180" s="1"/>
  <c r="AG218"/>
  <c r="AH218" s="1"/>
  <c r="AG216"/>
  <c r="AH216" s="1"/>
  <c r="BC216" i="5"/>
  <c r="AG213" i="4"/>
  <c r="AH213" s="1"/>
  <c r="BC213" i="5"/>
  <c r="AG211" i="4"/>
  <c r="AH211" s="1"/>
  <c r="BC211" i="5"/>
  <c r="AG209" i="4"/>
  <c r="AH209" s="1"/>
  <c r="BC209" i="5"/>
  <c r="AG207" i="4"/>
  <c r="AH207" s="1"/>
  <c r="BC207" i="5"/>
  <c r="AG205" i="4"/>
  <c r="AH205" s="1"/>
  <c r="BC205" i="5"/>
  <c r="AG203" i="4"/>
  <c r="AH203" s="1"/>
  <c r="BC203" i="5"/>
  <c r="AG201" i="4"/>
  <c r="AH201" s="1"/>
  <c r="BC201" i="5"/>
  <c r="AG199" i="4"/>
  <c r="AH199" s="1"/>
  <c r="BC199" i="5"/>
  <c r="AR111"/>
  <c r="AT111" s="1"/>
  <c r="AU111" s="1"/>
  <c r="AR43"/>
  <c r="AT43" s="1"/>
  <c r="AU43" s="1"/>
  <c r="AS43"/>
  <c r="AY43" s="1"/>
  <c r="AY44" s="1"/>
  <c r="AR126"/>
  <c r="AR181"/>
  <c r="AT181" s="1"/>
  <c r="AU181" s="1"/>
  <c r="AR222"/>
  <c r="AT198"/>
  <c r="AU198" s="1"/>
  <c r="AT146"/>
  <c r="AU146" s="1"/>
  <c r="AT85"/>
  <c r="AU85" s="1"/>
  <c r="AR109"/>
  <c r="AT109" s="1"/>
  <c r="AU120"/>
  <c r="AV220"/>
  <c r="AV7" i="4"/>
  <c r="AW7" s="1"/>
  <c r="AH7"/>
  <c r="AG35"/>
  <c r="AH35" s="1"/>
  <c r="BC35" i="5"/>
  <c r="AG33" i="4"/>
  <c r="AH33" s="1"/>
  <c r="BC33" i="5"/>
  <c r="AG31" i="4"/>
  <c r="AH31" s="1"/>
  <c r="BC31" i="5"/>
  <c r="AG29" i="4"/>
  <c r="AH29" s="1"/>
  <c r="BC29" i="5"/>
  <c r="AG27" i="4"/>
  <c r="AH27" s="1"/>
  <c r="BC27" i="5"/>
  <c r="AG25" i="4"/>
  <c r="AH25" s="1"/>
  <c r="BC25" i="5"/>
  <c r="AG23" i="4"/>
  <c r="AH23" s="1"/>
  <c r="BC23" i="5"/>
  <c r="AG21" i="4"/>
  <c r="AH21" s="1"/>
  <c r="BC21" i="5"/>
  <c r="AG19" i="4"/>
  <c r="AH19" s="1"/>
  <c r="AG16"/>
  <c r="AH16" s="1"/>
  <c r="BC16" i="5"/>
  <c r="AG14" i="4"/>
  <c r="AH14" s="1"/>
  <c r="BC12" i="5"/>
  <c r="AG10" i="4"/>
  <c r="AH10" s="1"/>
  <c r="BC10" i="5"/>
  <c r="AG8" i="4"/>
  <c r="AH8" s="1"/>
  <c r="BC8" i="5"/>
  <c r="AV73" i="4"/>
  <c r="AW73" s="1"/>
  <c r="AG73"/>
  <c r="AH73" s="1"/>
  <c r="BC73" i="5"/>
  <c r="AG71" i="4"/>
  <c r="AH71" s="1"/>
  <c r="BC71" i="5"/>
  <c r="AV69" i="4"/>
  <c r="AW69" s="1"/>
  <c r="AG69"/>
  <c r="AH69" s="1"/>
  <c r="BC69" i="5"/>
  <c r="AG67" i="4"/>
  <c r="AH67" s="1"/>
  <c r="BC67" i="5"/>
  <c r="AG65" i="4"/>
  <c r="AH65" s="1"/>
  <c r="BC65" i="5"/>
  <c r="AG63" i="4"/>
  <c r="AH63" s="1"/>
  <c r="BC63" i="5"/>
  <c r="AV61" i="4"/>
  <c r="AW61" s="1"/>
  <c r="AG61"/>
  <c r="AH61" s="1"/>
  <c r="BC61" i="5"/>
  <c r="AG59" i="4"/>
  <c r="AH59" s="1"/>
  <c r="BC59" i="5"/>
  <c r="AV57" i="4"/>
  <c r="AW57" s="1"/>
  <c r="AG57"/>
  <c r="AH57" s="1"/>
  <c r="BC57" i="5"/>
  <c r="AG55" i="4"/>
  <c r="AH55" s="1"/>
  <c r="BC55" i="5"/>
  <c r="AV53" i="4"/>
  <c r="AW53" s="1"/>
  <c r="AG53"/>
  <c r="AH53" s="1"/>
  <c r="BC53" i="5"/>
  <c r="AV85" i="4"/>
  <c r="AW85" s="1"/>
  <c r="AG85"/>
  <c r="AH85" s="1"/>
  <c r="BC85" i="5"/>
  <c r="AG105" i="4"/>
  <c r="AH105" s="1"/>
  <c r="BC105" i="5"/>
  <c r="AG103" i="4"/>
  <c r="AH103" s="1"/>
  <c r="BC103" i="5"/>
  <c r="AG101" i="4"/>
  <c r="AH101" s="1"/>
  <c r="BC101" i="5"/>
  <c r="AG99" i="4"/>
  <c r="AH99" s="1"/>
  <c r="BC99" i="5"/>
  <c r="AG97" i="4"/>
  <c r="AH97" s="1"/>
  <c r="BC97" i="5"/>
  <c r="AG95" i="4"/>
  <c r="AH95" s="1"/>
  <c r="BC95" i="5"/>
  <c r="AG93" i="4"/>
  <c r="AH93" s="1"/>
  <c r="BC93" i="5"/>
  <c r="AG90" i="4"/>
  <c r="AH90" s="1"/>
  <c r="BC90" i="5"/>
  <c r="AG88" i="4"/>
  <c r="AH88" s="1"/>
  <c r="BC88" i="5"/>
  <c r="AG86" i="4"/>
  <c r="AH86" s="1"/>
  <c r="BC86" i="5"/>
  <c r="AG132" i="4"/>
  <c r="AH132" s="1"/>
  <c r="AV130"/>
  <c r="AW130" s="1"/>
  <c r="AG130"/>
  <c r="AH130" s="1"/>
  <c r="BC130" i="5"/>
  <c r="AG127" i="4"/>
  <c r="AH127" s="1"/>
  <c r="BC127" i="5"/>
  <c r="AG125" i="4"/>
  <c r="AH125" s="1"/>
  <c r="BC125" i="5"/>
  <c r="AV123" i="4"/>
  <c r="AW123" s="1"/>
  <c r="AG123"/>
  <c r="AH123" s="1"/>
  <c r="AV121"/>
  <c r="AW121" s="1"/>
  <c r="AG121"/>
  <c r="AH121" s="1"/>
  <c r="BC121" i="5"/>
  <c r="AJ146" i="4"/>
  <c r="AG146"/>
  <c r="AH146" s="1"/>
  <c r="BC146" i="5"/>
  <c r="AV162" i="4"/>
  <c r="AW162" s="1"/>
  <c r="AG162"/>
  <c r="AH162" s="1"/>
  <c r="BC162" i="5"/>
  <c r="AG160" i="4"/>
  <c r="AH160" s="1"/>
  <c r="BC160" i="5"/>
  <c r="AG158" i="4"/>
  <c r="AH158" s="1"/>
  <c r="AG158" i="5"/>
  <c r="AH158" s="1"/>
  <c r="AG155" i="4"/>
  <c r="AH155" s="1"/>
  <c r="AG155" i="5"/>
  <c r="AH155" s="1"/>
  <c r="AV153" i="4"/>
  <c r="AW153" s="1"/>
  <c r="AG153"/>
  <c r="AH153" s="1"/>
  <c r="BC153" i="5"/>
  <c r="AG151" i="4"/>
  <c r="AH151" s="1"/>
  <c r="AG151" i="5"/>
  <c r="AH151" s="1"/>
  <c r="AV148" i="4"/>
  <c r="AW148" s="1"/>
  <c r="AG148"/>
  <c r="AH148" s="1"/>
  <c r="AG148" i="5"/>
  <c r="AH148" s="1"/>
  <c r="AV179" i="4"/>
  <c r="AW179" s="1"/>
  <c r="AG179"/>
  <c r="AH179" s="1"/>
  <c r="AG185"/>
  <c r="AH185" s="1"/>
  <c r="BC185" i="5"/>
  <c r="AG183" i="4"/>
  <c r="AH183" s="1"/>
  <c r="BC183" i="5"/>
  <c r="AG181" i="4"/>
  <c r="AH181" s="1"/>
  <c r="AG181" i="5"/>
  <c r="AH181" s="1"/>
  <c r="AV198" i="4"/>
  <c r="AW198" s="1"/>
  <c r="AG198"/>
  <c r="AH198" s="1"/>
  <c r="BC198" i="5"/>
  <c r="AG219" i="4"/>
  <c r="AH219" s="1"/>
  <c r="AG217"/>
  <c r="AH217" s="1"/>
  <c r="AG215"/>
  <c r="AH215" s="1"/>
  <c r="BC215" i="5"/>
  <c r="AG212" i="4"/>
  <c r="AH212" s="1"/>
  <c r="BC212" i="5"/>
  <c r="AG210" i="4"/>
  <c r="AH210" s="1"/>
  <c r="BC210" i="5"/>
  <c r="AG208" i="4"/>
  <c r="AH208" s="1"/>
  <c r="AG206"/>
  <c r="AH206" s="1"/>
  <c r="BC206" i="5"/>
  <c r="AG204" i="4"/>
  <c r="AH204" s="1"/>
  <c r="BC204" i="5"/>
  <c r="AG202" i="4"/>
  <c r="AH202" s="1"/>
  <c r="BC202" i="5"/>
  <c r="AG200" i="4"/>
  <c r="AH200" s="1"/>
  <c r="BC200" i="5"/>
  <c r="AS111"/>
  <c r="AY111" s="1"/>
  <c r="AR179"/>
  <c r="AR74"/>
  <c r="AT51"/>
  <c r="AU51" s="1"/>
  <c r="AT7"/>
  <c r="AU7" s="1"/>
  <c r="AB222"/>
  <c r="AC222" s="1"/>
  <c r="Y85"/>
  <c r="Y109" s="1"/>
  <c r="Y7"/>
  <c r="Y120"/>
  <c r="Y133" s="1"/>
  <c r="AB188"/>
  <c r="AC188" s="1"/>
  <c r="Y51"/>
  <c r="Y74" s="1"/>
  <c r="AV122" i="4"/>
  <c r="AW122" s="1"/>
  <c r="AV161"/>
  <c r="AW161" s="1"/>
  <c r="AV151"/>
  <c r="AW151" s="1"/>
  <c r="AV159"/>
  <c r="AW159" s="1"/>
  <c r="AV163"/>
  <c r="AW163" s="1"/>
  <c r="AV158"/>
  <c r="AW158" s="1"/>
  <c r="AV127"/>
  <c r="AW127" s="1"/>
  <c r="AV125"/>
  <c r="AW125" s="1"/>
  <c r="AV155"/>
  <c r="AW155" s="1"/>
  <c r="AV152"/>
  <c r="AW152" s="1"/>
  <c r="AV146"/>
  <c r="AV160"/>
  <c r="AW160" s="1"/>
  <c r="AV217"/>
  <c r="AW217" s="1"/>
  <c r="AV209"/>
  <c r="AW209" s="1"/>
  <c r="AV201"/>
  <c r="AW201" s="1"/>
  <c r="AV216"/>
  <c r="AW216" s="1"/>
  <c r="AV206"/>
  <c r="AW206" s="1"/>
  <c r="AV219"/>
  <c r="AW219" s="1"/>
  <c r="AV211"/>
  <c r="AW211" s="1"/>
  <c r="AV203"/>
  <c r="AW203" s="1"/>
  <c r="AV218"/>
  <c r="AW218" s="1"/>
  <c r="AV208"/>
  <c r="AW208" s="1"/>
  <c r="AV200"/>
  <c r="AW200" s="1"/>
  <c r="AV213"/>
  <c r="AW213" s="1"/>
  <c r="AV205"/>
  <c r="AW205" s="1"/>
  <c r="AV220"/>
  <c r="AW220" s="1"/>
  <c r="AV210"/>
  <c r="AW210" s="1"/>
  <c r="AV202"/>
  <c r="AW202" s="1"/>
  <c r="AV215"/>
  <c r="AW215" s="1"/>
  <c r="AV207"/>
  <c r="AW207" s="1"/>
  <c r="AV199"/>
  <c r="AW199" s="1"/>
  <c r="AV212"/>
  <c r="AW212" s="1"/>
  <c r="AV204"/>
  <c r="AW204" s="1"/>
  <c r="AI51"/>
  <c r="AV51"/>
  <c r="AJ51"/>
  <c r="AJ68"/>
  <c r="AI68"/>
  <c r="AJ66"/>
  <c r="AI66"/>
  <c r="AI64"/>
  <c r="AJ64"/>
  <c r="AI62"/>
  <c r="AJ62"/>
  <c r="AI60"/>
  <c r="AJ60"/>
  <c r="AJ58"/>
  <c r="AV58"/>
  <c r="AW58" s="1"/>
  <c r="AI58"/>
  <c r="AJ56"/>
  <c r="AI56"/>
  <c r="AJ54"/>
  <c r="AI54"/>
  <c r="AJ52"/>
  <c r="AI52"/>
  <c r="AJ131"/>
  <c r="AJ129"/>
  <c r="AJ126"/>
  <c r="AJ124"/>
  <c r="AJ161"/>
  <c r="AJ156"/>
  <c r="AJ154"/>
  <c r="AJ152"/>
  <c r="AJ147"/>
  <c r="AV187"/>
  <c r="AW187" s="1"/>
  <c r="AJ187"/>
  <c r="AI187"/>
  <c r="AV184"/>
  <c r="AW184" s="1"/>
  <c r="AJ184"/>
  <c r="AI184"/>
  <c r="AV182"/>
  <c r="AW182" s="1"/>
  <c r="AJ182"/>
  <c r="AI182"/>
  <c r="AV180"/>
  <c r="AW180" s="1"/>
  <c r="AJ180"/>
  <c r="AI180"/>
  <c r="AV105"/>
  <c r="AW105" s="1"/>
  <c r="AV103"/>
  <c r="AW103" s="1"/>
  <c r="AV101"/>
  <c r="AW101" s="1"/>
  <c r="AV99"/>
  <c r="AW99" s="1"/>
  <c r="AV97"/>
  <c r="AW97" s="1"/>
  <c r="AV95"/>
  <c r="AW95" s="1"/>
  <c r="AV93"/>
  <c r="AW93" s="1"/>
  <c r="AV90"/>
  <c r="AW90" s="1"/>
  <c r="AV88"/>
  <c r="AW88" s="1"/>
  <c r="AV86"/>
  <c r="AW86" s="1"/>
  <c r="AV65"/>
  <c r="AW65" s="1"/>
  <c r="AV72"/>
  <c r="AW72" s="1"/>
  <c r="AV68"/>
  <c r="AW68" s="1"/>
  <c r="AV64"/>
  <c r="AW64" s="1"/>
  <c r="AV60"/>
  <c r="AW60" s="1"/>
  <c r="AV54"/>
  <c r="AW54" s="1"/>
  <c r="AI73"/>
  <c r="AJ73"/>
  <c r="AJ71"/>
  <c r="AI71"/>
  <c r="AI69"/>
  <c r="AJ69"/>
  <c r="AI67"/>
  <c r="AJ67"/>
  <c r="AJ63"/>
  <c r="AI63"/>
  <c r="AJ61"/>
  <c r="AI61"/>
  <c r="AI57"/>
  <c r="AJ57"/>
  <c r="AI55"/>
  <c r="AJ55"/>
  <c r="AI53"/>
  <c r="AJ53"/>
  <c r="AJ130"/>
  <c r="AJ123"/>
  <c r="AI121"/>
  <c r="AJ121"/>
  <c r="AJ162"/>
  <c r="AJ155"/>
  <c r="AJ153"/>
  <c r="AJ151"/>
  <c r="AJ148"/>
  <c r="AJ179"/>
  <c r="AI179"/>
  <c r="AV185"/>
  <c r="AW185" s="1"/>
  <c r="AJ185"/>
  <c r="AI185"/>
  <c r="AV183"/>
  <c r="AW183" s="1"/>
  <c r="AJ183"/>
  <c r="AI183"/>
  <c r="AV181"/>
  <c r="AW181" s="1"/>
  <c r="AJ181"/>
  <c r="AI181"/>
  <c r="AV108"/>
  <c r="AW108" s="1"/>
  <c r="AV104"/>
  <c r="AW104" s="1"/>
  <c r="AV102"/>
  <c r="AW102" s="1"/>
  <c r="AV100"/>
  <c r="AW100" s="1"/>
  <c r="AV98"/>
  <c r="AW98" s="1"/>
  <c r="AV96"/>
  <c r="AW96" s="1"/>
  <c r="AV94"/>
  <c r="AW94" s="1"/>
  <c r="AV92"/>
  <c r="AW92" s="1"/>
  <c r="AV89"/>
  <c r="AW89" s="1"/>
  <c r="AV87"/>
  <c r="AW87" s="1"/>
  <c r="AV71"/>
  <c r="AW71" s="1"/>
  <c r="AV67"/>
  <c r="AW67" s="1"/>
  <c r="AV63"/>
  <c r="AW63" s="1"/>
  <c r="AV59"/>
  <c r="AW59" s="1"/>
  <c r="AV55"/>
  <c r="AW55" s="1"/>
  <c r="AV20"/>
  <c r="AW20" s="1"/>
  <c r="AV70"/>
  <c r="AW70" s="1"/>
  <c r="AV66"/>
  <c r="AW66" s="1"/>
  <c r="AV62"/>
  <c r="AW62" s="1"/>
  <c r="AV56"/>
  <c r="AW56" s="1"/>
  <c r="AV52"/>
  <c r="AW52" s="1"/>
  <c r="AV35"/>
  <c r="AW35" s="1"/>
  <c r="AV33"/>
  <c r="AW33" s="1"/>
  <c r="AV31"/>
  <c r="AW31" s="1"/>
  <c r="AV29"/>
  <c r="AW29" s="1"/>
  <c r="AV27"/>
  <c r="AW27" s="1"/>
  <c r="AV25"/>
  <c r="AW25" s="1"/>
  <c r="AV23"/>
  <c r="AW23" s="1"/>
  <c r="AV21"/>
  <c r="AW21" s="1"/>
  <c r="AV16"/>
  <c r="AW16" s="1"/>
  <c r="AV13"/>
  <c r="AW13" s="1"/>
  <c r="AV11"/>
  <c r="AW11" s="1"/>
  <c r="AV9"/>
  <c r="AW9" s="1"/>
  <c r="AV34"/>
  <c r="AW34" s="1"/>
  <c r="AV32"/>
  <c r="AW32" s="1"/>
  <c r="AV30"/>
  <c r="AW30" s="1"/>
  <c r="AV28"/>
  <c r="AW28" s="1"/>
  <c r="AV26"/>
  <c r="AW26" s="1"/>
  <c r="AV24"/>
  <c r="AW24" s="1"/>
  <c r="AV22"/>
  <c r="AW22" s="1"/>
  <c r="AV18"/>
  <c r="AW18" s="1"/>
  <c r="AV15"/>
  <c r="AW15" s="1"/>
  <c r="AV12"/>
  <c r="AW12" s="1"/>
  <c r="AV10"/>
  <c r="AW10" s="1"/>
  <c r="AV8"/>
  <c r="AW8" s="1"/>
  <c r="AH41"/>
  <c r="P133"/>
  <c r="Q133" s="1"/>
  <c r="Z58" i="5"/>
  <c r="S164"/>
  <c r="V198"/>
  <c r="W198" s="1"/>
  <c r="S200"/>
  <c r="T200" s="1"/>
  <c r="AA14" i="3"/>
  <c r="Y222" i="4"/>
  <c r="Z222" s="1"/>
  <c r="AA17" i="2"/>
  <c r="L15"/>
  <c r="Y109" i="4"/>
  <c r="Z109" s="1"/>
  <c r="V152" i="5"/>
  <c r="W152" s="1"/>
  <c r="R11" i="2"/>
  <c r="P52" i="5"/>
  <c r="Q52" s="1"/>
  <c r="S155"/>
  <c r="T155" s="1"/>
  <c r="P205"/>
  <c r="R16" i="2"/>
  <c r="R16" i="3" s="1"/>
  <c r="S188" i="4"/>
  <c r="T188" s="1"/>
  <c r="Z41"/>
  <c r="Y188"/>
  <c r="Z188" s="1"/>
  <c r="P33" i="5"/>
  <c r="Q33" s="1"/>
  <c r="P101"/>
  <c r="Q101" s="1"/>
  <c r="Y74" i="4"/>
  <c r="Z74" s="1"/>
  <c r="P188"/>
  <c r="Q188" s="1"/>
  <c r="S14" i="5"/>
  <c r="T14" s="1"/>
  <c r="V29"/>
  <c r="W29" s="1"/>
  <c r="S31"/>
  <c r="T31" s="1"/>
  <c r="V33"/>
  <c r="W33" s="1"/>
  <c r="P51"/>
  <c r="Q51" s="1"/>
  <c r="S54"/>
  <c r="T54" s="1"/>
  <c r="V62"/>
  <c r="S68"/>
  <c r="T68" s="1"/>
  <c r="V70"/>
  <c r="W70" s="1"/>
  <c r="S89"/>
  <c r="T89" s="1"/>
  <c r="P94"/>
  <c r="Q94" s="1"/>
  <c r="V164"/>
  <c r="S201"/>
  <c r="T201" s="1"/>
  <c r="V205"/>
  <c r="P109" i="4"/>
  <c r="Q109" s="1"/>
  <c r="R12" i="2"/>
  <c r="Z13" i="5"/>
  <c r="V19"/>
  <c r="W19" s="1"/>
  <c r="S23"/>
  <c r="T23" s="1"/>
  <c r="S56"/>
  <c r="T56" s="1"/>
  <c r="V66"/>
  <c r="W66" s="1"/>
  <c r="V148"/>
  <c r="W148" s="1"/>
  <c r="V149"/>
  <c r="V209"/>
  <c r="W209" s="1"/>
  <c r="P222" i="4"/>
  <c r="Q222" s="1"/>
  <c r="V14" i="5"/>
  <c r="W14" s="1"/>
  <c r="S25"/>
  <c r="T25" s="1"/>
  <c r="V94"/>
  <c r="W94" s="1"/>
  <c r="S96"/>
  <c r="T96" s="1"/>
  <c r="V98"/>
  <c r="S100"/>
  <c r="T100" s="1"/>
  <c r="S157"/>
  <c r="T157" s="1"/>
  <c r="S161"/>
  <c r="T161" s="1"/>
  <c r="V181"/>
  <c r="W181" s="1"/>
  <c r="V201"/>
  <c r="W201" s="1"/>
  <c r="V202"/>
  <c r="W202" s="1"/>
  <c r="S209"/>
  <c r="T209" s="1"/>
  <c r="L12" i="2"/>
  <c r="L12" i="3" s="1"/>
  <c r="M12" s="1"/>
  <c r="N12" s="1"/>
  <c r="AA11"/>
  <c r="P151" i="5"/>
  <c r="Q151" s="1"/>
  <c r="AB166" i="4"/>
  <c r="AC166" s="1"/>
  <c r="AB109"/>
  <c r="AC109" s="1"/>
  <c r="AB133"/>
  <c r="AC133" s="1"/>
  <c r="AB188"/>
  <c r="AC188" s="1"/>
  <c r="Y133"/>
  <c r="Z133" s="1"/>
  <c r="AA15" i="2"/>
  <c r="AA16"/>
  <c r="S41" i="4"/>
  <c r="T41" s="1"/>
  <c r="S16" i="5"/>
  <c r="T16" s="1"/>
  <c r="S19"/>
  <c r="T19" s="1"/>
  <c r="S27"/>
  <c r="T27" s="1"/>
  <c r="S51"/>
  <c r="T51" s="1"/>
  <c r="S52"/>
  <c r="T52" s="1"/>
  <c r="V60"/>
  <c r="W60" s="1"/>
  <c r="S62"/>
  <c r="V64"/>
  <c r="W64" s="1"/>
  <c r="S70"/>
  <c r="P85"/>
  <c r="Q85" s="1"/>
  <c r="S87"/>
  <c r="T87" s="1"/>
  <c r="P88"/>
  <c r="Q88" s="1"/>
  <c r="V92"/>
  <c r="W92" s="1"/>
  <c r="Z96"/>
  <c r="V102"/>
  <c r="V104"/>
  <c r="W104" s="1"/>
  <c r="S126"/>
  <c r="T126" s="1"/>
  <c r="S146"/>
  <c r="T146" s="1"/>
  <c r="V147"/>
  <c r="W147" s="1"/>
  <c r="S151"/>
  <c r="T151" s="1"/>
  <c r="S153"/>
  <c r="T153" s="1"/>
  <c r="P166" i="4"/>
  <c r="Q166" s="1"/>
  <c r="X242"/>
  <c r="X244" i="5" s="1"/>
  <c r="P41" i="4"/>
  <c r="Q41" s="1"/>
  <c r="L242"/>
  <c r="L244" i="5" s="1"/>
  <c r="P19"/>
  <c r="Q19" s="1"/>
  <c r="S29"/>
  <c r="T29" s="1"/>
  <c r="P30"/>
  <c r="Q30" s="1"/>
  <c r="S33"/>
  <c r="T33" s="1"/>
  <c r="P34"/>
  <c r="Q34" s="1"/>
  <c r="V56"/>
  <c r="W56" s="1"/>
  <c r="S60"/>
  <c r="T60" s="1"/>
  <c r="S64"/>
  <c r="T64" s="1"/>
  <c r="V68"/>
  <c r="W68" s="1"/>
  <c r="V89"/>
  <c r="W89" s="1"/>
  <c r="S92"/>
  <c r="T92" s="1"/>
  <c r="V96"/>
  <c r="W96" s="1"/>
  <c r="P97"/>
  <c r="Q97" s="1"/>
  <c r="V100"/>
  <c r="W100" s="1"/>
  <c r="S102"/>
  <c r="S104"/>
  <c r="T104" s="1"/>
  <c r="S124"/>
  <c r="T124" s="1"/>
  <c r="P127"/>
  <c r="S147"/>
  <c r="T147" s="1"/>
  <c r="S149"/>
  <c r="P153"/>
  <c r="Q153" s="1"/>
  <c r="V155"/>
  <c r="W155" s="1"/>
  <c r="AB41" i="4"/>
  <c r="AC41" s="1"/>
  <c r="V188"/>
  <c r="W188" s="1"/>
  <c r="S8" i="5"/>
  <c r="T8" s="1"/>
  <c r="S10"/>
  <c r="T10" s="1"/>
  <c r="Z32"/>
  <c r="S58"/>
  <c r="T58" s="1"/>
  <c r="S66"/>
  <c r="T66" s="1"/>
  <c r="V87"/>
  <c r="W87" s="1"/>
  <c r="S94"/>
  <c r="T94" s="1"/>
  <c r="S98"/>
  <c r="T98" s="1"/>
  <c r="Z104"/>
  <c r="S122"/>
  <c r="T122" s="1"/>
  <c r="V125"/>
  <c r="W125" s="1"/>
  <c r="V151"/>
  <c r="W151" s="1"/>
  <c r="S159"/>
  <c r="T159" s="1"/>
  <c r="P183"/>
  <c r="Q183" s="1"/>
  <c r="S199"/>
  <c r="T199" s="1"/>
  <c r="V41" i="4"/>
  <c r="W41" s="1"/>
  <c r="AB241"/>
  <c r="U242"/>
  <c r="U244" i="5" s="1"/>
  <c r="L16" i="2"/>
  <c r="L16" i="3" s="1"/>
  <c r="M16" s="1"/>
  <c r="N16" s="1"/>
  <c r="P208" i="5"/>
  <c r="L14" i="2"/>
  <c r="L14" i="3" s="1"/>
  <c r="M14" s="1"/>
  <c r="N14" s="1"/>
  <c r="Z183" i="5"/>
  <c r="L11" i="2"/>
  <c r="V10" i="5"/>
  <c r="W10" s="1"/>
  <c r="P13"/>
  <c r="Q13" s="1"/>
  <c r="P31"/>
  <c r="Q31" s="1"/>
  <c r="V32"/>
  <c r="W32" s="1"/>
  <c r="V53"/>
  <c r="W53" s="1"/>
  <c r="P55"/>
  <c r="Q55" s="1"/>
  <c r="P60"/>
  <c r="Q60" s="1"/>
  <c r="Z61"/>
  <c r="P63"/>
  <c r="Q63" s="1"/>
  <c r="V65"/>
  <c r="P68"/>
  <c r="Q68" s="1"/>
  <c r="P102"/>
  <c r="V121"/>
  <c r="P123"/>
  <c r="Q123" s="1"/>
  <c r="P146"/>
  <c r="Q146" s="1"/>
  <c r="V156"/>
  <c r="W156" s="1"/>
  <c r="P157"/>
  <c r="Q157" s="1"/>
  <c r="P162"/>
  <c r="V180"/>
  <c r="S181"/>
  <c r="T181" s="1"/>
  <c r="V184"/>
  <c r="W184" s="1"/>
  <c r="V185"/>
  <c r="W185" s="1"/>
  <c r="P200"/>
  <c r="Q200" s="1"/>
  <c r="P203"/>
  <c r="V204"/>
  <c r="V212"/>
  <c r="V9"/>
  <c r="W9" s="1"/>
  <c r="P14"/>
  <c r="Q14" s="1"/>
  <c r="P15"/>
  <c r="Q15" s="1"/>
  <c r="P23"/>
  <c r="Q23" s="1"/>
  <c r="V24"/>
  <c r="W24" s="1"/>
  <c r="P26"/>
  <c r="Q26" s="1"/>
  <c r="P56"/>
  <c r="Q56" s="1"/>
  <c r="V57"/>
  <c r="W57" s="1"/>
  <c r="V69"/>
  <c r="W69" s="1"/>
  <c r="P89"/>
  <c r="Q89" s="1"/>
  <c r="S93"/>
  <c r="T93" s="1"/>
  <c r="P98"/>
  <c r="Q98" s="1"/>
  <c r="P158"/>
  <c r="Q158" s="1"/>
  <c r="S180"/>
  <c r="T180" s="1"/>
  <c r="S184"/>
  <c r="T184" s="1"/>
  <c r="S185"/>
  <c r="T185" s="1"/>
  <c r="S204"/>
  <c r="V208"/>
  <c r="S212"/>
  <c r="V213"/>
  <c r="W213" s="1"/>
  <c r="P10"/>
  <c r="Q10" s="1"/>
  <c r="V18"/>
  <c r="W18" s="1"/>
  <c r="V21"/>
  <c r="W21" s="1"/>
  <c r="V25"/>
  <c r="W25" s="1"/>
  <c r="P27"/>
  <c r="Q27" s="1"/>
  <c r="V28"/>
  <c r="W28" s="1"/>
  <c r="P59"/>
  <c r="Q59" s="1"/>
  <c r="V61"/>
  <c r="W61" s="1"/>
  <c r="P64"/>
  <c r="Q64" s="1"/>
  <c r="P67"/>
  <c r="Q67" s="1"/>
  <c r="S69"/>
  <c r="T69" s="1"/>
  <c r="P93"/>
  <c r="Q93" s="1"/>
  <c r="S95"/>
  <c r="T95" s="1"/>
  <c r="Z97"/>
  <c r="V122"/>
  <c r="W122" s="1"/>
  <c r="P124"/>
  <c r="Q124" s="1"/>
  <c r="V126"/>
  <c r="W126" s="1"/>
  <c r="P149"/>
  <c r="V159"/>
  <c r="W159" s="1"/>
  <c r="V160"/>
  <c r="W160" s="1"/>
  <c r="P161"/>
  <c r="V200"/>
  <c r="W200" s="1"/>
  <c r="P204"/>
  <c r="S208"/>
  <c r="T208" s="1"/>
  <c r="P212"/>
  <c r="Q212" s="1"/>
  <c r="V8"/>
  <c r="W8" s="1"/>
  <c r="S59"/>
  <c r="V146"/>
  <c r="W146" s="1"/>
  <c r="V157"/>
  <c r="W157" s="1"/>
  <c r="S158"/>
  <c r="T158" s="1"/>
  <c r="Z199"/>
  <c r="S210"/>
  <c r="S214"/>
  <c r="V13"/>
  <c r="W13" s="1"/>
  <c r="S18"/>
  <c r="T18" s="1"/>
  <c r="P24"/>
  <c r="Q24" s="1"/>
  <c r="V34"/>
  <c r="W34" s="1"/>
  <c r="P53"/>
  <c r="Q53" s="1"/>
  <c r="S88"/>
  <c r="T88" s="1"/>
  <c r="S90"/>
  <c r="T90" s="1"/>
  <c r="V154"/>
  <c r="W154" s="1"/>
  <c r="AE166"/>
  <c r="P179"/>
  <c r="Q179" s="1"/>
  <c r="P25"/>
  <c r="Q25" s="1"/>
  <c r="S26"/>
  <c r="T26" s="1"/>
  <c r="S30"/>
  <c r="T30" s="1"/>
  <c r="P54"/>
  <c r="Q54" s="1"/>
  <c r="S101"/>
  <c r="P103"/>
  <c r="S127"/>
  <c r="P150"/>
  <c r="Q150" s="1"/>
  <c r="P152"/>
  <c r="Q152" s="1"/>
  <c r="P154"/>
  <c r="Q154" s="1"/>
  <c r="P156"/>
  <c r="Q156" s="1"/>
  <c r="V187"/>
  <c r="W187" s="1"/>
  <c r="P201"/>
  <c r="Q201" s="1"/>
  <c r="S206"/>
  <c r="T206" s="1"/>
  <c r="S213"/>
  <c r="AM166"/>
  <c r="Z180"/>
  <c r="W166" i="4"/>
  <c r="L17" i="2"/>
  <c r="L17" i="3" s="1"/>
  <c r="M17" s="1"/>
  <c r="N17" s="1"/>
  <c r="L13" i="2"/>
  <c r="R13"/>
  <c r="R13" i="3" s="1"/>
  <c r="V13" s="1"/>
  <c r="W13" s="1"/>
  <c r="S109" i="4"/>
  <c r="T109" s="1"/>
  <c r="P198" i="5"/>
  <c r="Q198" s="1"/>
  <c r="P211"/>
  <c r="Z19"/>
  <c r="Z66"/>
  <c r="Z181"/>
  <c r="Z184"/>
  <c r="Z126"/>
  <c r="Z150"/>
  <c r="Z158"/>
  <c r="Z29"/>
  <c r="Z148"/>
  <c r="V222" i="4"/>
  <c r="W222" s="1"/>
  <c r="Z10" i="5"/>
  <c r="Z24"/>
  <c r="Z55"/>
  <c r="Z69"/>
  <c r="Z123"/>
  <c r="Z160"/>
  <c r="Z164"/>
  <c r="Z201"/>
  <c r="Z213"/>
  <c r="AM242"/>
  <c r="AT242" s="1"/>
  <c r="AS242"/>
  <c r="V133" i="4"/>
  <c r="W133" s="1"/>
  <c r="R17" i="2"/>
  <c r="AE242" i="4"/>
  <c r="AT230" i="5"/>
  <c r="Z23"/>
  <c r="Z53"/>
  <c r="Z57"/>
  <c r="Z64"/>
  <c r="Z88"/>
  <c r="Z89"/>
  <c r="Z93"/>
  <c r="Z100"/>
  <c r="Z147"/>
  <c r="Z151"/>
  <c r="Z152"/>
  <c r="Z154"/>
  <c r="Z206"/>
  <c r="Z209"/>
  <c r="AA13" i="2"/>
  <c r="AA13" i="3"/>
  <c r="R242" i="4"/>
  <c r="R244" i="5" s="1"/>
  <c r="AA14" i="2"/>
  <c r="AA12"/>
  <c r="AA16" i="3"/>
  <c r="U15" i="2"/>
  <c r="U15" i="3" s="1"/>
  <c r="S133" i="4"/>
  <c r="T133" s="1"/>
  <c r="S14" i="3"/>
  <c r="T14" s="1"/>
  <c r="X11" i="2"/>
  <c r="X14"/>
  <c r="X16"/>
  <c r="X16" i="3" s="1"/>
  <c r="AB12" i="2"/>
  <c r="AB12" i="3" s="1"/>
  <c r="AB15" i="2"/>
  <c r="AB15" i="3" s="1"/>
  <c r="R15" i="2"/>
  <c r="O17"/>
  <c r="O17" i="3" s="1"/>
  <c r="S222" i="4"/>
  <c r="T222" s="1"/>
  <c r="AB222"/>
  <c r="AC222" s="1"/>
  <c r="X12" i="2"/>
  <c r="X13"/>
  <c r="X13" i="3" s="1"/>
  <c r="X15" i="2"/>
  <c r="X15" i="3" s="1"/>
  <c r="X17" i="2"/>
  <c r="X17" i="3" s="1"/>
  <c r="AB11" i="2"/>
  <c r="AB13"/>
  <c r="AB13" i="3" s="1"/>
  <c r="AB16" i="2"/>
  <c r="AB16" i="3" s="1"/>
  <c r="AB14" i="2"/>
  <c r="AB14" i="3" s="1"/>
  <c r="AD242" i="4"/>
  <c r="P185" i="5"/>
  <c r="Q185" s="1"/>
  <c r="P199"/>
  <c r="Q199" s="1"/>
  <c r="P184"/>
  <c r="Q184" s="1"/>
  <c r="S14" i="2"/>
  <c r="T14" s="1"/>
  <c r="V16" i="5"/>
  <c r="W16" s="1"/>
  <c r="P21"/>
  <c r="Q21" s="1"/>
  <c r="S24"/>
  <c r="T24" s="1"/>
  <c r="V26"/>
  <c r="W26" s="1"/>
  <c r="Z27"/>
  <c r="P28"/>
  <c r="Q28" s="1"/>
  <c r="V30"/>
  <c r="W30" s="1"/>
  <c r="Z31"/>
  <c r="P32"/>
  <c r="Q32" s="1"/>
  <c r="V51"/>
  <c r="S53"/>
  <c r="T53" s="1"/>
  <c r="S55"/>
  <c r="T55" s="1"/>
  <c r="P58"/>
  <c r="Q58" s="1"/>
  <c r="V59"/>
  <c r="Z63"/>
  <c r="P65"/>
  <c r="Q65" s="1"/>
  <c r="P66"/>
  <c r="Q66" s="1"/>
  <c r="Z67"/>
  <c r="P86"/>
  <c r="Q86" s="1"/>
  <c r="Z86"/>
  <c r="P87"/>
  <c r="Q87" s="1"/>
  <c r="V88"/>
  <c r="W88" s="1"/>
  <c r="V90"/>
  <c r="W90" s="1"/>
  <c r="P92"/>
  <c r="Q92" s="1"/>
  <c r="V93"/>
  <c r="W93" s="1"/>
  <c r="V95"/>
  <c r="W95" s="1"/>
  <c r="P99"/>
  <c r="Q99" s="1"/>
  <c r="V101"/>
  <c r="S103"/>
  <c r="P122"/>
  <c r="Z124"/>
  <c r="P125"/>
  <c r="Q125" s="1"/>
  <c r="V127"/>
  <c r="S150"/>
  <c r="T150" s="1"/>
  <c r="S152"/>
  <c r="T152" s="1"/>
  <c r="S156"/>
  <c r="T156" s="1"/>
  <c r="V158"/>
  <c r="W158" s="1"/>
  <c r="P160"/>
  <c r="Q160" s="1"/>
  <c r="V161"/>
  <c r="W161" s="1"/>
  <c r="P182"/>
  <c r="S183"/>
  <c r="T183" s="1"/>
  <c r="V203"/>
  <c r="V206"/>
  <c r="W206" s="1"/>
  <c r="V210"/>
  <c r="V211"/>
  <c r="W211" s="1"/>
  <c r="V214"/>
  <c r="S9"/>
  <c r="T9" s="1"/>
  <c r="S13"/>
  <c r="T13" s="1"/>
  <c r="V15"/>
  <c r="W15" s="1"/>
  <c r="P16"/>
  <c r="Q16" s="1"/>
  <c r="Z16"/>
  <c r="P18"/>
  <c r="Q18" s="1"/>
  <c r="V27"/>
  <c r="W27" s="1"/>
  <c r="P29"/>
  <c r="Q29" s="1"/>
  <c r="V31"/>
  <c r="W31" s="1"/>
  <c r="S34"/>
  <c r="T34" s="1"/>
  <c r="S61"/>
  <c r="T61" s="1"/>
  <c r="V63"/>
  <c r="W63" s="1"/>
  <c r="V67"/>
  <c r="W67" s="1"/>
  <c r="P69"/>
  <c r="Q69" s="1"/>
  <c r="P70"/>
  <c r="V71"/>
  <c r="V85"/>
  <c r="V86"/>
  <c r="W86" s="1"/>
  <c r="P90"/>
  <c r="Q90" s="1"/>
  <c r="P95"/>
  <c r="Q95" s="1"/>
  <c r="Z95"/>
  <c r="P96"/>
  <c r="Q96" s="1"/>
  <c r="V97"/>
  <c r="W97" s="1"/>
  <c r="V99"/>
  <c r="W99" s="1"/>
  <c r="P100"/>
  <c r="Q100" s="1"/>
  <c r="P104"/>
  <c r="S121"/>
  <c r="T121" s="1"/>
  <c r="V123"/>
  <c r="W123" s="1"/>
  <c r="V124"/>
  <c r="W124" s="1"/>
  <c r="P126"/>
  <c r="Q126" s="1"/>
  <c r="S148"/>
  <c r="T148" s="1"/>
  <c r="S154"/>
  <c r="T154" s="1"/>
  <c r="P159"/>
  <c r="Q159" s="1"/>
  <c r="Z161"/>
  <c r="V162"/>
  <c r="V182"/>
  <c r="S187"/>
  <c r="T187" s="1"/>
  <c r="S198"/>
  <c r="T198" s="1"/>
  <c r="S202"/>
  <c r="T202" s="1"/>
  <c r="P206"/>
  <c r="V207"/>
  <c r="P210"/>
  <c r="P214"/>
  <c r="V7"/>
  <c r="P8"/>
  <c r="Q8" s="1"/>
  <c r="Z8"/>
  <c r="P9"/>
  <c r="Q9" s="1"/>
  <c r="S15"/>
  <c r="T15" s="1"/>
  <c r="S21"/>
  <c r="T21" s="1"/>
  <c r="V23"/>
  <c r="W23" s="1"/>
  <c r="S28"/>
  <c r="T28" s="1"/>
  <c r="S32"/>
  <c r="T32" s="1"/>
  <c r="V55"/>
  <c r="W55" s="1"/>
  <c r="S57"/>
  <c r="P61"/>
  <c r="Q61" s="1"/>
  <c r="P62"/>
  <c r="S63"/>
  <c r="T63" s="1"/>
  <c r="S65"/>
  <c r="S67"/>
  <c r="T67" s="1"/>
  <c r="S85"/>
  <c r="T85" s="1"/>
  <c r="S86"/>
  <c r="T86" s="1"/>
  <c r="S97"/>
  <c r="T97" s="1"/>
  <c r="S99"/>
  <c r="T99" s="1"/>
  <c r="V103"/>
  <c r="AE109"/>
  <c r="P121"/>
  <c r="Q121" s="1"/>
  <c r="S123"/>
  <c r="T123" s="1"/>
  <c r="S125"/>
  <c r="T125" s="1"/>
  <c r="Z146"/>
  <c r="P147"/>
  <c r="Q147" s="1"/>
  <c r="P148"/>
  <c r="Q148" s="1"/>
  <c r="V150"/>
  <c r="W150" s="1"/>
  <c r="V153"/>
  <c r="W153" s="1"/>
  <c r="P155"/>
  <c r="Q155" s="1"/>
  <c r="Z157"/>
  <c r="S160"/>
  <c r="T160" s="1"/>
  <c r="S162"/>
  <c r="S179"/>
  <c r="T179" s="1"/>
  <c r="P180"/>
  <c r="Q180" s="1"/>
  <c r="S182"/>
  <c r="V183"/>
  <c r="W183" s="1"/>
  <c r="P187"/>
  <c r="Q187" s="1"/>
  <c r="Z187"/>
  <c r="V199"/>
  <c r="W199" s="1"/>
  <c r="P202"/>
  <c r="Q202" s="1"/>
  <c r="Y222"/>
  <c r="P17" i="3"/>
  <c r="Q17" s="1"/>
  <c r="V58" i="5"/>
  <c r="W58" s="1"/>
  <c r="P164"/>
  <c r="Q164" s="1"/>
  <c r="P181"/>
  <c r="Q181" s="1"/>
  <c r="S203"/>
  <c r="S205"/>
  <c r="P207"/>
  <c r="P209"/>
  <c r="S211"/>
  <c r="T211" s="1"/>
  <c r="P213"/>
  <c r="AB17" i="2"/>
  <c r="AB17" i="3" s="1"/>
  <c r="V14" i="2"/>
  <c r="W14" s="1"/>
  <c r="AI166" i="5"/>
  <c r="Y188"/>
  <c r="V179"/>
  <c r="W179" s="1"/>
  <c r="V52"/>
  <c r="W52" s="1"/>
  <c r="Z52"/>
  <c r="V54"/>
  <c r="W54" s="1"/>
  <c r="Z56"/>
  <c r="Z94"/>
  <c r="Z99"/>
  <c r="Z92"/>
  <c r="Z9"/>
  <c r="Z14"/>
  <c r="Z15"/>
  <c r="Z18"/>
  <c r="Z21"/>
  <c r="Z26"/>
  <c r="Z28"/>
  <c r="Z30"/>
  <c r="Z33"/>
  <c r="Z54"/>
  <c r="Z60"/>
  <c r="Z68"/>
  <c r="Z70"/>
  <c r="Z71"/>
  <c r="AS109"/>
  <c r="Z87"/>
  <c r="Z90"/>
  <c r="Z156"/>
  <c r="Z159"/>
  <c r="Z122"/>
  <c r="Z125"/>
  <c r="Z129"/>
  <c r="Z153"/>
  <c r="Z155"/>
  <c r="Z179"/>
  <c r="Z182"/>
  <c r="Z185"/>
  <c r="Z198"/>
  <c r="Z200"/>
  <c r="Z202"/>
  <c r="Z211"/>
  <c r="AA242" i="4"/>
  <c r="AA244" i="5" s="1"/>
  <c r="V166" i="4"/>
  <c r="W109"/>
  <c r="V74"/>
  <c r="W74" s="1"/>
  <c r="S166"/>
  <c r="AB68"/>
  <c r="AC68" s="1"/>
  <c r="AB121"/>
  <c r="AC121" s="1"/>
  <c r="AB201"/>
  <c r="AC201" s="1"/>
  <c r="AB202"/>
  <c r="AC202" s="1"/>
  <c r="AB200"/>
  <c r="AC200" s="1"/>
  <c r="AB198"/>
  <c r="AC198" s="1"/>
  <c r="AB183"/>
  <c r="AC183" s="1"/>
  <c r="AB179"/>
  <c r="AC179" s="1"/>
  <c r="AB185"/>
  <c r="AC185" s="1"/>
  <c r="AB181"/>
  <c r="AC181" s="1"/>
  <c r="AB74"/>
  <c r="AC74" s="1"/>
  <c r="BF109" i="5" l="1"/>
  <c r="BK188"/>
  <c r="BK244" s="1"/>
  <c r="AH12" i="2"/>
  <c r="AT74" i="4"/>
  <c r="BN74" i="5" s="1"/>
  <c r="BA214"/>
  <c r="AS188" i="4"/>
  <c r="AS242" s="1"/>
  <c r="AH18" i="2" s="1"/>
  <c r="AV179" i="5"/>
  <c r="AW179" s="1"/>
  <c r="S16" i="3"/>
  <c r="T16" s="1"/>
  <c r="AS188" i="5"/>
  <c r="BB188" s="1"/>
  <c r="BF188" s="1"/>
  <c r="AR166"/>
  <c r="AT166" s="1"/>
  <c r="AU166" s="1"/>
  <c r="P14" i="2"/>
  <c r="Q14" s="1"/>
  <c r="P14" i="3"/>
  <c r="Q14" s="1"/>
  <c r="AM244" i="5"/>
  <c r="BV188"/>
  <c r="BL244"/>
  <c r="BV244" s="1"/>
  <c r="AC133"/>
  <c r="AB109"/>
  <c r="AC109" s="1"/>
  <c r="P16" i="3"/>
  <c r="Q16" s="1"/>
  <c r="Y12" i="2"/>
  <c r="Z12" s="1"/>
  <c r="X12" i="3"/>
  <c r="Y12" s="1"/>
  <c r="Z12" s="1"/>
  <c r="S15" i="2"/>
  <c r="T15" s="1"/>
  <c r="R15" i="3"/>
  <c r="S15" s="1"/>
  <c r="T15" s="1"/>
  <c r="Y14" i="2"/>
  <c r="Z14" s="1"/>
  <c r="X14" i="3"/>
  <c r="AC14" s="1"/>
  <c r="AD14" s="1"/>
  <c r="V12" i="2"/>
  <c r="W12" s="1"/>
  <c r="R12" i="3"/>
  <c r="V12" s="1"/>
  <c r="W12" s="1"/>
  <c r="P15" i="2"/>
  <c r="Q15" s="1"/>
  <c r="L15" i="3"/>
  <c r="V17" i="2"/>
  <c r="W17" s="1"/>
  <c r="R17" i="3"/>
  <c r="P13" i="2"/>
  <c r="Q13" s="1"/>
  <c r="L13" i="3"/>
  <c r="M13" s="1"/>
  <c r="N13" s="1"/>
  <c r="AF11" i="2"/>
  <c r="AG11" s="1"/>
  <c r="AB11" i="3"/>
  <c r="AF11" s="1"/>
  <c r="AG11" s="1"/>
  <c r="Y11" i="2"/>
  <c r="Z11" s="1"/>
  <c r="X11" i="3"/>
  <c r="Y11" s="1"/>
  <c r="Z11" s="1"/>
  <c r="S11" i="2"/>
  <c r="T11" s="1"/>
  <c r="R11" i="3"/>
  <c r="P11" i="2"/>
  <c r="Q11" s="1"/>
  <c r="L11" i="3"/>
  <c r="BC182" i="5"/>
  <c r="S13" i="3"/>
  <c r="T13" s="1"/>
  <c r="Y16" i="2"/>
  <c r="Z16" s="1"/>
  <c r="V16" i="3"/>
  <c r="W16" s="1"/>
  <c r="S13" i="2"/>
  <c r="T13" s="1"/>
  <c r="P16"/>
  <c r="Q16" s="1"/>
  <c r="S16"/>
  <c r="T16" s="1"/>
  <c r="AS166" i="5"/>
  <c r="AY167" s="1"/>
  <c r="AQ244"/>
  <c r="BB126"/>
  <c r="BC126" s="1"/>
  <c r="AP242" i="4"/>
  <c r="AD244" i="5"/>
  <c r="N166"/>
  <c r="M166"/>
  <c r="M188"/>
  <c r="N188"/>
  <c r="L18" i="2"/>
  <c r="L18" i="3" s="1"/>
  <c r="M18" s="1"/>
  <c r="N18" s="1"/>
  <c r="BB166" i="5"/>
  <c r="BF166" s="1"/>
  <c r="BC220"/>
  <c r="AI181"/>
  <c r="AJ181"/>
  <c r="AI183"/>
  <c r="AJ183"/>
  <c r="AI185"/>
  <c r="AJ185"/>
  <c r="AI179"/>
  <c r="AJ179"/>
  <c r="AJ148"/>
  <c r="AJ151"/>
  <c r="AJ153"/>
  <c r="AJ155"/>
  <c r="AJ162"/>
  <c r="AJ121"/>
  <c r="AI121"/>
  <c r="AI133" s="1"/>
  <c r="AJ123"/>
  <c r="AJ130"/>
  <c r="AJ53"/>
  <c r="AI53"/>
  <c r="AJ55"/>
  <c r="AI55"/>
  <c r="AJ57"/>
  <c r="AI57"/>
  <c r="AI61"/>
  <c r="AJ61"/>
  <c r="AI63"/>
  <c r="AJ63"/>
  <c r="AJ67"/>
  <c r="AI67"/>
  <c r="AJ69"/>
  <c r="AI69"/>
  <c r="AI71"/>
  <c r="AJ71"/>
  <c r="AJ73"/>
  <c r="AI73"/>
  <c r="AI180"/>
  <c r="AJ180"/>
  <c r="AI182"/>
  <c r="AJ182"/>
  <c r="AI184"/>
  <c r="AJ184"/>
  <c r="AI187"/>
  <c r="AJ187"/>
  <c r="AJ147"/>
  <c r="AJ152"/>
  <c r="AJ154"/>
  <c r="AJ156"/>
  <c r="AJ161"/>
  <c r="AJ124"/>
  <c r="AJ126"/>
  <c r="AJ129"/>
  <c r="AJ131"/>
  <c r="AI52"/>
  <c r="AJ52"/>
  <c r="AI54"/>
  <c r="AJ54"/>
  <c r="AI56"/>
  <c r="AJ56"/>
  <c r="AI58"/>
  <c r="AJ58"/>
  <c r="AJ60"/>
  <c r="AI60"/>
  <c r="AJ62"/>
  <c r="AI62"/>
  <c r="AJ64"/>
  <c r="AI64"/>
  <c r="AI66"/>
  <c r="AJ66"/>
  <c r="AI68"/>
  <c r="AJ68"/>
  <c r="AJ51"/>
  <c r="AI51"/>
  <c r="AJ146"/>
  <c r="AJ163"/>
  <c r="BC7"/>
  <c r="AZ43"/>
  <c r="BB43" s="1"/>
  <c r="BC123"/>
  <c r="AW150"/>
  <c r="BA150"/>
  <c r="BC158"/>
  <c r="BC179"/>
  <c r="BC155"/>
  <c r="BC181"/>
  <c r="BC124"/>
  <c r="BC129"/>
  <c r="BC148"/>
  <c r="BC156"/>
  <c r="BC152"/>
  <c r="BC161"/>
  <c r="BC151"/>
  <c r="AW220"/>
  <c r="BA220"/>
  <c r="Z51"/>
  <c r="AV156"/>
  <c r="R18" i="2"/>
  <c r="R18" i="3" s="1"/>
  <c r="Z85" i="5"/>
  <c r="AV158"/>
  <c r="AV152"/>
  <c r="AV161"/>
  <c r="AV148"/>
  <c r="AV155"/>
  <c r="AS190"/>
  <c r="AZ191" s="1"/>
  <c r="AZ192" s="1"/>
  <c r="AG166" i="4"/>
  <c r="AH166" s="1"/>
  <c r="AR242"/>
  <c r="AG133"/>
  <c r="AH133" s="1"/>
  <c r="AC17" i="3"/>
  <c r="AD17" s="1"/>
  <c r="AG74" i="4"/>
  <c r="AH74" s="1"/>
  <c r="AR188" i="5"/>
  <c r="AT188" s="1"/>
  <c r="AU188" s="1"/>
  <c r="AT179"/>
  <c r="AU179" s="1"/>
  <c r="AG200"/>
  <c r="AH200" s="1"/>
  <c r="AV200"/>
  <c r="AG202"/>
  <c r="AH202" s="1"/>
  <c r="AV202"/>
  <c r="AG204"/>
  <c r="AH204" s="1"/>
  <c r="AV204"/>
  <c r="AG206"/>
  <c r="AH206" s="1"/>
  <c r="AV206"/>
  <c r="AG208"/>
  <c r="AH208" s="1"/>
  <c r="AV208"/>
  <c r="AW208" s="1"/>
  <c r="AG210"/>
  <c r="AH210" s="1"/>
  <c r="AV210"/>
  <c r="AG212"/>
  <c r="AH212" s="1"/>
  <c r="AV212"/>
  <c r="AG215"/>
  <c r="AH215" s="1"/>
  <c r="AV215"/>
  <c r="AG217"/>
  <c r="AH217" s="1"/>
  <c r="AV217"/>
  <c r="AG219"/>
  <c r="AH219" s="1"/>
  <c r="AV219"/>
  <c r="AG198"/>
  <c r="AH198" s="1"/>
  <c r="BC222"/>
  <c r="AV198"/>
  <c r="AG160"/>
  <c r="AH160" s="1"/>
  <c r="AV160"/>
  <c r="AG162"/>
  <c r="AH162" s="1"/>
  <c r="AV162"/>
  <c r="AG121"/>
  <c r="AH121" s="1"/>
  <c r="AV121"/>
  <c r="AG125"/>
  <c r="AH125" s="1"/>
  <c r="AV125"/>
  <c r="AV127"/>
  <c r="AG127"/>
  <c r="AH127" s="1"/>
  <c r="AG130"/>
  <c r="AH130" s="1"/>
  <c r="AV130"/>
  <c r="AG53"/>
  <c r="AH53" s="1"/>
  <c r="AV53"/>
  <c r="AG59"/>
  <c r="AH59" s="1"/>
  <c r="AV59"/>
  <c r="AG61"/>
  <c r="AH61" s="1"/>
  <c r="AV61"/>
  <c r="AG71"/>
  <c r="AH71" s="1"/>
  <c r="AV71"/>
  <c r="AG73"/>
  <c r="AH73" s="1"/>
  <c r="AV73"/>
  <c r="AT222"/>
  <c r="AG149"/>
  <c r="AH149" s="1"/>
  <c r="AV149"/>
  <c r="AG154"/>
  <c r="AH154" s="1"/>
  <c r="AV154"/>
  <c r="AG159"/>
  <c r="AH159" s="1"/>
  <c r="AV159"/>
  <c r="AG163"/>
  <c r="AH163" s="1"/>
  <c r="AV163"/>
  <c r="AG126"/>
  <c r="AH126" s="1"/>
  <c r="AV126"/>
  <c r="BA126" s="1"/>
  <c r="AG131"/>
  <c r="AH131" s="1"/>
  <c r="AV131"/>
  <c r="AG87"/>
  <c r="AH87" s="1"/>
  <c r="AV87"/>
  <c r="AG89"/>
  <c r="AH89" s="1"/>
  <c r="AV89"/>
  <c r="AG92"/>
  <c r="AH92" s="1"/>
  <c r="AV92"/>
  <c r="AG94"/>
  <c r="AH94" s="1"/>
  <c r="AV94"/>
  <c r="AG96"/>
  <c r="AH96" s="1"/>
  <c r="AV96"/>
  <c r="AG98"/>
  <c r="AH98" s="1"/>
  <c r="AV98"/>
  <c r="AG100"/>
  <c r="AH100" s="1"/>
  <c r="AV100"/>
  <c r="AG102"/>
  <c r="AH102" s="1"/>
  <c r="AV102"/>
  <c r="AG104"/>
  <c r="AH104" s="1"/>
  <c r="AV104"/>
  <c r="AG108"/>
  <c r="AH108" s="1"/>
  <c r="AV108"/>
  <c r="AW108" s="1"/>
  <c r="AG52"/>
  <c r="AH52" s="1"/>
  <c r="AV52"/>
  <c r="AG54"/>
  <c r="AH54" s="1"/>
  <c r="AV54"/>
  <c r="AG56"/>
  <c r="AH56" s="1"/>
  <c r="AV56"/>
  <c r="AG58"/>
  <c r="AH58" s="1"/>
  <c r="AV58"/>
  <c r="AG60"/>
  <c r="AH60" s="1"/>
  <c r="AV60"/>
  <c r="AG62"/>
  <c r="AH62" s="1"/>
  <c r="AV62"/>
  <c r="AG64"/>
  <c r="AH64" s="1"/>
  <c r="AV64"/>
  <c r="AG66"/>
  <c r="AH66" s="1"/>
  <c r="AV66"/>
  <c r="AG68"/>
  <c r="AH68" s="1"/>
  <c r="AV68"/>
  <c r="AG70"/>
  <c r="AH70" s="1"/>
  <c r="AV70"/>
  <c r="AG72"/>
  <c r="AH72" s="1"/>
  <c r="AV72"/>
  <c r="AG51"/>
  <c r="AH51" s="1"/>
  <c r="AV51"/>
  <c r="AG9"/>
  <c r="AH9" s="1"/>
  <c r="AV9"/>
  <c r="AG11"/>
  <c r="AH11" s="1"/>
  <c r="AV11"/>
  <c r="AG13"/>
  <c r="AH13" s="1"/>
  <c r="AV13"/>
  <c r="AG15"/>
  <c r="AH15" s="1"/>
  <c r="AV15"/>
  <c r="AG18"/>
  <c r="AH18" s="1"/>
  <c r="AV18"/>
  <c r="AG20"/>
  <c r="AH20" s="1"/>
  <c r="AV20"/>
  <c r="AG22"/>
  <c r="AH22" s="1"/>
  <c r="AV22"/>
  <c r="AG24"/>
  <c r="AH24" s="1"/>
  <c r="AV24"/>
  <c r="AG26"/>
  <c r="AH26" s="1"/>
  <c r="AV26"/>
  <c r="AG28"/>
  <c r="AH28" s="1"/>
  <c r="AV28"/>
  <c r="AG30"/>
  <c r="AH30" s="1"/>
  <c r="AV30"/>
  <c r="AG32"/>
  <c r="AH32" s="1"/>
  <c r="AV32"/>
  <c r="AG34"/>
  <c r="AH34" s="1"/>
  <c r="AV34"/>
  <c r="AV38"/>
  <c r="AV151"/>
  <c r="BA151" s="1"/>
  <c r="AV43" i="4"/>
  <c r="AW43" s="1"/>
  <c r="AV109"/>
  <c r="AW109" s="1"/>
  <c r="AG109"/>
  <c r="AH109" s="1"/>
  <c r="AV222"/>
  <c r="AG222"/>
  <c r="AH222" s="1"/>
  <c r="AT76" i="5"/>
  <c r="AU76" s="1"/>
  <c r="AT74"/>
  <c r="AU74" s="1"/>
  <c r="AG183"/>
  <c r="AH183" s="1"/>
  <c r="AV183"/>
  <c r="AG185"/>
  <c r="AH185" s="1"/>
  <c r="AV185"/>
  <c r="AG179"/>
  <c r="AH179" s="1"/>
  <c r="AG153"/>
  <c r="AH153" s="1"/>
  <c r="AV153"/>
  <c r="AG146"/>
  <c r="AH146" s="1"/>
  <c r="AV146"/>
  <c r="AV123"/>
  <c r="AG123"/>
  <c r="AH123" s="1"/>
  <c r="AV132"/>
  <c r="AW132" s="1"/>
  <c r="AG132"/>
  <c r="AH132" s="1"/>
  <c r="AG86"/>
  <c r="AH86" s="1"/>
  <c r="AV86"/>
  <c r="AG88"/>
  <c r="AH88" s="1"/>
  <c r="AV88"/>
  <c r="AG90"/>
  <c r="AH90" s="1"/>
  <c r="AV90"/>
  <c r="AG93"/>
  <c r="AH93" s="1"/>
  <c r="AV93"/>
  <c r="AG95"/>
  <c r="AH95" s="1"/>
  <c r="AV95"/>
  <c r="AG97"/>
  <c r="AH97" s="1"/>
  <c r="AV97"/>
  <c r="AG99"/>
  <c r="AH99" s="1"/>
  <c r="AV99"/>
  <c r="AG101"/>
  <c r="AH101" s="1"/>
  <c r="AV101"/>
  <c r="AG103"/>
  <c r="AH103" s="1"/>
  <c r="AV103"/>
  <c r="AG105"/>
  <c r="AH105" s="1"/>
  <c r="AV105"/>
  <c r="AG109"/>
  <c r="AH109" s="1"/>
  <c r="AG85"/>
  <c r="AH85" s="1"/>
  <c r="AV85"/>
  <c r="AG55"/>
  <c r="AH55" s="1"/>
  <c r="AV55"/>
  <c r="AG57"/>
  <c r="AH57" s="1"/>
  <c r="AV57"/>
  <c r="AG63"/>
  <c r="AH63" s="1"/>
  <c r="AV63"/>
  <c r="AG65"/>
  <c r="AH65" s="1"/>
  <c r="AV65"/>
  <c r="AG67"/>
  <c r="AH67" s="1"/>
  <c r="AV67"/>
  <c r="AG69"/>
  <c r="AH69" s="1"/>
  <c r="AV69"/>
  <c r="AG8"/>
  <c r="AH8" s="1"/>
  <c r="AV8"/>
  <c r="AG10"/>
  <c r="AH10" s="1"/>
  <c r="AV10"/>
  <c r="AG12"/>
  <c r="AH12" s="1"/>
  <c r="AV12"/>
  <c r="AG14"/>
  <c r="AH14" s="1"/>
  <c r="AV14"/>
  <c r="AG16"/>
  <c r="AH16" s="1"/>
  <c r="AV16"/>
  <c r="AG19"/>
  <c r="AH19" s="1"/>
  <c r="AV19"/>
  <c r="AG21"/>
  <c r="AH21" s="1"/>
  <c r="AV21"/>
  <c r="AG23"/>
  <c r="AH23" s="1"/>
  <c r="AV23"/>
  <c r="AG25"/>
  <c r="AH25" s="1"/>
  <c r="AV25"/>
  <c r="AG27"/>
  <c r="AH27" s="1"/>
  <c r="AV27"/>
  <c r="AG29"/>
  <c r="AH29" s="1"/>
  <c r="AV29"/>
  <c r="AG31"/>
  <c r="AH31" s="1"/>
  <c r="AV31"/>
  <c r="AG33"/>
  <c r="AH33" s="1"/>
  <c r="AV33"/>
  <c r="AV35"/>
  <c r="AG7"/>
  <c r="AH7" s="1"/>
  <c r="AV7"/>
  <c r="AT126"/>
  <c r="AR133"/>
  <c r="AG199"/>
  <c r="AH199" s="1"/>
  <c r="AV199"/>
  <c r="AG201"/>
  <c r="AH201" s="1"/>
  <c r="AV201"/>
  <c r="AG203"/>
  <c r="AH203" s="1"/>
  <c r="AV203"/>
  <c r="AG205"/>
  <c r="AH205" s="1"/>
  <c r="AV205"/>
  <c r="AG207"/>
  <c r="AH207" s="1"/>
  <c r="AV207"/>
  <c r="AG209"/>
  <c r="AH209" s="1"/>
  <c r="AV209"/>
  <c r="AG211"/>
  <c r="AH211" s="1"/>
  <c r="AV211"/>
  <c r="AG213"/>
  <c r="AH213" s="1"/>
  <c r="AV213"/>
  <c r="AG216"/>
  <c r="AH216" s="1"/>
  <c r="AV216"/>
  <c r="AG218"/>
  <c r="AH218" s="1"/>
  <c r="AV218"/>
  <c r="AG180"/>
  <c r="AH180" s="1"/>
  <c r="AV180"/>
  <c r="AG182"/>
  <c r="AH182" s="1"/>
  <c r="AV182"/>
  <c r="AG184"/>
  <c r="AH184" s="1"/>
  <c r="AV184"/>
  <c r="AG187"/>
  <c r="AH187" s="1"/>
  <c r="AV187"/>
  <c r="AG147"/>
  <c r="AH147" s="1"/>
  <c r="AV147"/>
  <c r="AG122"/>
  <c r="AH122" s="1"/>
  <c r="AV122"/>
  <c r="AG124"/>
  <c r="AH124" s="1"/>
  <c r="AV124"/>
  <c r="AG129"/>
  <c r="AH129" s="1"/>
  <c r="AV129"/>
  <c r="AG120"/>
  <c r="AH120" s="1"/>
  <c r="AV120"/>
  <c r="AV111" i="4"/>
  <c r="AW111" s="1"/>
  <c r="AV181" i="5"/>
  <c r="Z109"/>
  <c r="Z133"/>
  <c r="Z74"/>
  <c r="Z41"/>
  <c r="W7"/>
  <c r="W41"/>
  <c r="W51"/>
  <c r="V74"/>
  <c r="W74" s="1"/>
  <c r="AE244"/>
  <c r="AB244"/>
  <c r="AC244" s="1"/>
  <c r="W85"/>
  <c r="V109"/>
  <c r="W109" s="1"/>
  <c r="W121"/>
  <c r="V133"/>
  <c r="W133" s="1"/>
  <c r="AV133" i="4"/>
  <c r="AF14" i="3"/>
  <c r="AG14" s="1"/>
  <c r="U18" i="2"/>
  <c r="U18" i="3" s="1"/>
  <c r="V16" i="2"/>
  <c r="W16" s="1"/>
  <c r="AV74" i="4"/>
  <c r="AW74" s="1"/>
  <c r="AW51"/>
  <c r="AV166"/>
  <c r="AW166" s="1"/>
  <c r="AW146"/>
  <c r="AJ166"/>
  <c r="AJ133"/>
  <c r="AJ188"/>
  <c r="AJ74"/>
  <c r="AI74"/>
  <c r="AV41"/>
  <c r="AW41" s="1"/>
  <c r="AI188"/>
  <c r="V11" i="2"/>
  <c r="W11" s="1"/>
  <c r="S17"/>
  <c r="T17" s="1"/>
  <c r="AC11"/>
  <c r="AD11" s="1"/>
  <c r="X18"/>
  <c r="X18" i="3" s="1"/>
  <c r="Y242" i="4"/>
  <c r="Z242" s="1"/>
  <c r="AC16" i="3"/>
  <c r="AD16" s="1"/>
  <c r="Y17"/>
  <c r="Z17" s="1"/>
  <c r="AF13"/>
  <c r="AG13" s="1"/>
  <c r="AC17" i="2"/>
  <c r="AD17" s="1"/>
  <c r="AC15" i="3"/>
  <c r="AD15" s="1"/>
  <c r="AA12"/>
  <c r="V242" i="4"/>
  <c r="W242" s="1"/>
  <c r="Y17" i="2"/>
  <c r="Z17" s="1"/>
  <c r="AF13"/>
  <c r="AG13" s="1"/>
  <c r="AC12"/>
  <c r="AD12" s="1"/>
  <c r="P166" i="5"/>
  <c r="Q166" s="1"/>
  <c r="AA15" i="3"/>
  <c r="V13" i="2"/>
  <c r="W13" s="1"/>
  <c r="AA11"/>
  <c r="S133" i="5"/>
  <c r="T133" s="1"/>
  <c r="V14" i="3"/>
  <c r="W14" s="1"/>
  <c r="P109" i="5"/>
  <c r="Q109" s="1"/>
  <c r="AC13" i="2"/>
  <c r="AD13" s="1"/>
  <c r="Y13"/>
  <c r="Z13" s="1"/>
  <c r="S109" i="5"/>
  <c r="T109" s="1"/>
  <c r="S222"/>
  <c r="T222" s="1"/>
  <c r="Z188"/>
  <c r="S74"/>
  <c r="T74" s="1"/>
  <c r="AC16" i="2"/>
  <c r="AD16" s="1"/>
  <c r="V15"/>
  <c r="W15" s="1"/>
  <c r="AC14"/>
  <c r="AD14" s="1"/>
  <c r="Y15" i="3"/>
  <c r="Z15" s="1"/>
  <c r="AF12"/>
  <c r="AG12" s="1"/>
  <c r="AC15" i="2"/>
  <c r="AD15" s="1"/>
  <c r="W166" i="5"/>
  <c r="P17" i="2"/>
  <c r="Q17" s="1"/>
  <c r="Y15"/>
  <c r="Z15" s="1"/>
  <c r="Y16" i="3"/>
  <c r="Z16" s="1"/>
  <c r="AF15"/>
  <c r="AG15" s="1"/>
  <c r="V222" i="5"/>
  <c r="W222" s="1"/>
  <c r="Y13" i="3"/>
  <c r="Z13" s="1"/>
  <c r="Z222" i="5"/>
  <c r="P133"/>
  <c r="Q133" s="1"/>
  <c r="P188"/>
  <c r="Q188" s="1"/>
  <c r="P222"/>
  <c r="Q222" s="1"/>
  <c r="S188"/>
  <c r="T188" s="1"/>
  <c r="P74"/>
  <c r="Q74" s="1"/>
  <c r="V166"/>
  <c r="AF17" i="2"/>
  <c r="AG17" s="1"/>
  <c r="S166" i="5"/>
  <c r="T166" s="1"/>
  <c r="AF12" i="2"/>
  <c r="AG12" s="1"/>
  <c r="AF14"/>
  <c r="AG14" s="1"/>
  <c r="AB166" i="5"/>
  <c r="AC166" s="1"/>
  <c r="AA18" i="2"/>
  <c r="AA18" i="3"/>
  <c r="AC13"/>
  <c r="AD13" s="1"/>
  <c r="AF15" i="2"/>
  <c r="AG15" s="1"/>
  <c r="AF17" i="3"/>
  <c r="AG17" s="1"/>
  <c r="V188" i="5"/>
  <c r="W188" s="1"/>
  <c r="AB242" i="4"/>
  <c r="AC242" s="1"/>
  <c r="AB18" i="2"/>
  <c r="AB18" i="3" s="1"/>
  <c r="Z121" i="5"/>
  <c r="Z7"/>
  <c r="Y166"/>
  <c r="Z166" s="1"/>
  <c r="T166" i="4"/>
  <c r="BA179" i="5" l="1"/>
  <c r="AT188" i="4"/>
  <c r="AU188" s="1"/>
  <c r="AU74"/>
  <c r="BM188"/>
  <c r="BQ188" s="1"/>
  <c r="AH16" i="2"/>
  <c r="AL16" s="1"/>
  <c r="AM16" s="1"/>
  <c r="AT168" i="5"/>
  <c r="AU168" s="1"/>
  <c r="AI74"/>
  <c r="AI188"/>
  <c r="Y14" i="3"/>
  <c r="Z14" s="1"/>
  <c r="AC12"/>
  <c r="AD12" s="1"/>
  <c r="AS244" i="5"/>
  <c r="V15" i="3"/>
  <c r="W15" s="1"/>
  <c r="AC11"/>
  <c r="AD11" s="1"/>
  <c r="AL18" i="2"/>
  <c r="AM18" s="1"/>
  <c r="AH18" i="3"/>
  <c r="AL18" s="1"/>
  <c r="AM18" s="1"/>
  <c r="BL242" i="5"/>
  <c r="BM242" i="4"/>
  <c r="BB133" i="5"/>
  <c r="BF133" s="1"/>
  <c r="V17" i="3"/>
  <c r="W17" s="1"/>
  <c r="S17"/>
  <c r="T17" s="1"/>
  <c r="M15"/>
  <c r="N15" s="1"/>
  <c r="P15"/>
  <c r="Q15" s="1"/>
  <c r="P13"/>
  <c r="Q13" s="1"/>
  <c r="S11"/>
  <c r="T11" s="1"/>
  <c r="V11"/>
  <c r="W11" s="1"/>
  <c r="P11"/>
  <c r="Q11" s="1"/>
  <c r="M11"/>
  <c r="N11" s="1"/>
  <c r="V18"/>
  <c r="W18" s="1"/>
  <c r="Y18"/>
  <c r="Z18" s="1"/>
  <c r="AJ74" i="5"/>
  <c r="AJ166"/>
  <c r="AJ188"/>
  <c r="BC166"/>
  <c r="M244"/>
  <c r="N244"/>
  <c r="AJ133"/>
  <c r="AV168"/>
  <c r="AW168" s="1"/>
  <c r="AZ222"/>
  <c r="AW181"/>
  <c r="BA181"/>
  <c r="AW120"/>
  <c r="BA120"/>
  <c r="AW69"/>
  <c r="BA69"/>
  <c r="AW67"/>
  <c r="BA67"/>
  <c r="AW65"/>
  <c r="BA65"/>
  <c r="AW63"/>
  <c r="BA63"/>
  <c r="AW57"/>
  <c r="BA57"/>
  <c r="AW55"/>
  <c r="BA55"/>
  <c r="AW123"/>
  <c r="BA123"/>
  <c r="AW153"/>
  <c r="BA153"/>
  <c r="AW185"/>
  <c r="BA185"/>
  <c r="AW183"/>
  <c r="BA183"/>
  <c r="AW72"/>
  <c r="BA72"/>
  <c r="AW70"/>
  <c r="BA70"/>
  <c r="AW68"/>
  <c r="BA68"/>
  <c r="AW66"/>
  <c r="BA66"/>
  <c r="AW64"/>
  <c r="BA64"/>
  <c r="AW62"/>
  <c r="BA62"/>
  <c r="AW60"/>
  <c r="BA60"/>
  <c r="AW58"/>
  <c r="BA58"/>
  <c r="AW56"/>
  <c r="BA56"/>
  <c r="AW54"/>
  <c r="BA54"/>
  <c r="AW52"/>
  <c r="BA52"/>
  <c r="AW131"/>
  <c r="BA131"/>
  <c r="AW163"/>
  <c r="BA163"/>
  <c r="AW159"/>
  <c r="BA159"/>
  <c r="AW154"/>
  <c r="BA154"/>
  <c r="AW149"/>
  <c r="BA149"/>
  <c r="AW127"/>
  <c r="BA127"/>
  <c r="AW148"/>
  <c r="BA148"/>
  <c r="AW152"/>
  <c r="BA152"/>
  <c r="AW156"/>
  <c r="BA156"/>
  <c r="AW129"/>
  <c r="BA129"/>
  <c r="AW124"/>
  <c r="BA124"/>
  <c r="AW122"/>
  <c r="BA122"/>
  <c r="AW147"/>
  <c r="BA147"/>
  <c r="AW187"/>
  <c r="BA187"/>
  <c r="AW184"/>
  <c r="BA184"/>
  <c r="AW182"/>
  <c r="BA182"/>
  <c r="AW180"/>
  <c r="BA180"/>
  <c r="AW146"/>
  <c r="BA146"/>
  <c r="AW51"/>
  <c r="BA51"/>
  <c r="BC74"/>
  <c r="AW73"/>
  <c r="BA73"/>
  <c r="AW71"/>
  <c r="BA71"/>
  <c r="AW61"/>
  <c r="BA61"/>
  <c r="AW59"/>
  <c r="BA59"/>
  <c r="AW53"/>
  <c r="BA53"/>
  <c r="AW130"/>
  <c r="BA130"/>
  <c r="AW125"/>
  <c r="BA125"/>
  <c r="AW121"/>
  <c r="BA121"/>
  <c r="AW162"/>
  <c r="BA162"/>
  <c r="AW160"/>
  <c r="BA160"/>
  <c r="AW155"/>
  <c r="BA155"/>
  <c r="AW161"/>
  <c r="BA161"/>
  <c r="AW158"/>
  <c r="BA158"/>
  <c r="AW218"/>
  <c r="BA218"/>
  <c r="AW213"/>
  <c r="BA213"/>
  <c r="AW209"/>
  <c r="BA209"/>
  <c r="AW205"/>
  <c r="BA205"/>
  <c r="AW201"/>
  <c r="BA201"/>
  <c r="AW105"/>
  <c r="BA105"/>
  <c r="AW101"/>
  <c r="BA101"/>
  <c r="AW97"/>
  <c r="BA97"/>
  <c r="AW93"/>
  <c r="BA93"/>
  <c r="AW88"/>
  <c r="BA88"/>
  <c r="AW34"/>
  <c r="BA34"/>
  <c r="AW30"/>
  <c r="BA30"/>
  <c r="AW26"/>
  <c r="BA26"/>
  <c r="AW22"/>
  <c r="BA22"/>
  <c r="AW18"/>
  <c r="BA18"/>
  <c r="AW13"/>
  <c r="BA13"/>
  <c r="AW9"/>
  <c r="BA9"/>
  <c r="AW33"/>
  <c r="BA33"/>
  <c r="AW29"/>
  <c r="BA29"/>
  <c r="AW25"/>
  <c r="BA25"/>
  <c r="AW21"/>
  <c r="BA21"/>
  <c r="AW16"/>
  <c r="BA16"/>
  <c r="AW12"/>
  <c r="BA12"/>
  <c r="AW8"/>
  <c r="BA8"/>
  <c r="AW102"/>
  <c r="BA102"/>
  <c r="AW98"/>
  <c r="BA98"/>
  <c r="AW94"/>
  <c r="BA94"/>
  <c r="AW89"/>
  <c r="BA89"/>
  <c r="AW217"/>
  <c r="BA217"/>
  <c r="AW212"/>
  <c r="BA212"/>
  <c r="AW204"/>
  <c r="BA204"/>
  <c r="AW200"/>
  <c r="BA200"/>
  <c r="AZ111"/>
  <c r="BB111" s="1"/>
  <c r="AW216"/>
  <c r="BA216"/>
  <c r="AW211"/>
  <c r="BA211"/>
  <c r="AW207"/>
  <c r="BA207"/>
  <c r="AW203"/>
  <c r="BA203"/>
  <c r="AW199"/>
  <c r="BA199"/>
  <c r="AW7"/>
  <c r="BA7"/>
  <c r="AW103"/>
  <c r="BA103"/>
  <c r="AW99"/>
  <c r="BA99"/>
  <c r="AW95"/>
  <c r="BA95"/>
  <c r="AW90"/>
  <c r="BA90"/>
  <c r="AW86"/>
  <c r="BA86"/>
  <c r="AW151"/>
  <c r="AW38"/>
  <c r="BA38"/>
  <c r="AW32"/>
  <c r="BA32"/>
  <c r="AW28"/>
  <c r="BA28"/>
  <c r="AW24"/>
  <c r="BA24"/>
  <c r="AW20"/>
  <c r="BA20"/>
  <c r="AW15"/>
  <c r="BA15"/>
  <c r="AW11"/>
  <c r="BA11"/>
  <c r="AW198"/>
  <c r="BA198"/>
  <c r="AW35"/>
  <c r="BA35"/>
  <c r="AW31"/>
  <c r="BA31"/>
  <c r="AW27"/>
  <c r="BA27"/>
  <c r="AW23"/>
  <c r="BA23"/>
  <c r="AW19"/>
  <c r="BA19"/>
  <c r="AW14"/>
  <c r="BA14"/>
  <c r="AW10"/>
  <c r="BA10"/>
  <c r="AW85"/>
  <c r="BA85"/>
  <c r="AW104"/>
  <c r="BA104"/>
  <c r="AW100"/>
  <c r="BA100"/>
  <c r="AW96"/>
  <c r="BA96"/>
  <c r="AW92"/>
  <c r="BA92"/>
  <c r="AW87"/>
  <c r="BA87"/>
  <c r="AW126"/>
  <c r="AW219"/>
  <c r="BA219"/>
  <c r="AW215"/>
  <c r="BA215"/>
  <c r="AW210"/>
  <c r="BA210"/>
  <c r="AW206"/>
  <c r="BA206"/>
  <c r="AW202"/>
  <c r="BA202"/>
  <c r="Y18" i="2"/>
  <c r="Z18" s="1"/>
  <c r="V18"/>
  <c r="W18" s="1"/>
  <c r="AI242" i="4"/>
  <c r="AV109" i="5"/>
  <c r="AW109" s="1"/>
  <c r="AV135" i="4"/>
  <c r="AW135" s="1"/>
  <c r="AR190" i="5"/>
  <c r="AT190" s="1"/>
  <c r="AU190" s="1"/>
  <c r="AV168" i="4"/>
  <c r="AW168" s="1"/>
  <c r="AR244" i="5"/>
  <c r="AT135"/>
  <c r="AU135" s="1"/>
  <c r="AU126"/>
  <c r="AT133"/>
  <c r="AU133" s="1"/>
  <c r="AV76" i="4"/>
  <c r="AW76" s="1"/>
  <c r="AJ242"/>
  <c r="AV111" i="5"/>
  <c r="AW111" s="1"/>
  <c r="AG133"/>
  <c r="AH133" s="1"/>
  <c r="AV133"/>
  <c r="AW133" s="1"/>
  <c r="AV43"/>
  <c r="AW43" s="1"/>
  <c r="AG41"/>
  <c r="AH41" s="1"/>
  <c r="AV41"/>
  <c r="AW41" s="1"/>
  <c r="AV166"/>
  <c r="AW166" s="1"/>
  <c r="AG166"/>
  <c r="AH166" s="1"/>
  <c r="AW222" i="4"/>
  <c r="AG74" i="5"/>
  <c r="AH74" s="1"/>
  <c r="AV74"/>
  <c r="AW74" s="1"/>
  <c r="AU222"/>
  <c r="AG222"/>
  <c r="AH222" s="1"/>
  <c r="AV222"/>
  <c r="AW222" s="1"/>
  <c r="Y244"/>
  <c r="Z244" s="1"/>
  <c r="AW133" i="4"/>
  <c r="V244" i="5"/>
  <c r="W244" s="1"/>
  <c r="AC18" i="2"/>
  <c r="AD18" s="1"/>
  <c r="AC18" i="3"/>
  <c r="AD18" s="1"/>
  <c r="AU109" i="5"/>
  <c r="AT242" i="4" l="1"/>
  <c r="AU242" s="1"/>
  <c r="AH16" i="3"/>
  <c r="AL16" s="1"/>
  <c r="AM16" s="1"/>
  <c r="AI244" i="5"/>
  <c r="BQ242" i="4"/>
  <c r="BV242" i="5"/>
  <c r="BC133"/>
  <c r="AJ244"/>
  <c r="AY168"/>
  <c r="AO243" i="4"/>
  <c r="AV135" i="5"/>
  <c r="AW135" s="1"/>
  <c r="AZ135"/>
  <c r="AZ136" s="1"/>
  <c r="BA166"/>
  <c r="BA133"/>
  <c r="AV76"/>
  <c r="AW76" s="1"/>
  <c r="AS75"/>
  <c r="AT244"/>
  <c r="AU244" s="1"/>
  <c r="P7"/>
  <c r="Q7" s="1"/>
  <c r="S7"/>
  <c r="T7" s="1"/>
  <c r="BM244" l="1"/>
  <c r="BM242"/>
  <c r="BN242" s="1"/>
  <c r="S41"/>
  <c r="T41" s="1"/>
  <c r="P41"/>
  <c r="Q41" s="1"/>
  <c r="S74" i="4" l="1"/>
  <c r="T74" s="1"/>
  <c r="O12" i="2"/>
  <c r="P74" i="4"/>
  <c r="Q74" s="1"/>
  <c r="O242"/>
  <c r="P12" i="2" l="1"/>
  <c r="Q12" s="1"/>
  <c r="O12" i="3"/>
  <c r="P12" s="1"/>
  <c r="Q12" s="1"/>
  <c r="O244" i="5"/>
  <c r="P244" s="1"/>
  <c r="Q244" s="1"/>
  <c r="P242" i="4"/>
  <c r="Q242" s="1"/>
  <c r="S12" i="2"/>
  <c r="T12" s="1"/>
  <c r="O18"/>
  <c r="O18" i="3" s="1"/>
  <c r="S242" i="4"/>
  <c r="T242" s="1"/>
  <c r="S12" i="3" l="1"/>
  <c r="T12" s="1"/>
  <c r="S244" i="5"/>
  <c r="T244" s="1"/>
  <c r="P18" i="3"/>
  <c r="Q18" s="1"/>
  <c r="S18"/>
  <c r="T18" s="1"/>
  <c r="P18" i="2"/>
  <c r="Q18" s="1"/>
  <c r="S18"/>
  <c r="T18" s="1"/>
  <c r="E244" i="5" l="1"/>
  <c r="D244"/>
  <c r="BF41" i="4"/>
  <c r="BG41" s="1"/>
  <c r="BR41" i="5"/>
  <c r="BZ41" s="1"/>
  <c r="CA41" s="1"/>
  <c r="AL11" i="3"/>
  <c r="AM11" s="1"/>
  <c r="BS41" i="5" l="1"/>
  <c r="BT41" s="1"/>
  <c r="BR244"/>
  <c r="BZ244" s="1"/>
  <c r="CA244" s="1"/>
  <c r="BF74" i="4"/>
  <c r="BG74" s="1"/>
  <c r="AY74"/>
  <c r="AZ74" s="1"/>
  <c r="BO74" i="5"/>
  <c r="BP74" s="1"/>
  <c r="BQ74" s="1"/>
  <c r="AI12" i="2"/>
  <c r="AJ12" s="1"/>
  <c r="BS244" i="5" l="1"/>
  <c r="BT244" s="1"/>
  <c r="AH12" i="3"/>
  <c r="AI12" s="1"/>
  <c r="AJ12" s="1"/>
  <c r="BS74" i="5"/>
  <c r="BT74" s="1"/>
  <c r="AL12" i="2"/>
  <c r="AM12" s="1"/>
  <c r="AY188" i="4"/>
  <c r="AZ188" s="1"/>
  <c r="AV190"/>
  <c r="AW190" s="1"/>
  <c r="AG188"/>
  <c r="AH188" s="1"/>
  <c r="AF188" i="5"/>
  <c r="BM188" s="1"/>
  <c r="AE16" i="2"/>
  <c r="AI16" s="1"/>
  <c r="AJ16" s="1"/>
  <c r="AV188" i="4"/>
  <c r="AW188" s="1"/>
  <c r="AQ242"/>
  <c r="BC188" i="5" l="1"/>
  <c r="BN188"/>
  <c r="AL12" i="3"/>
  <c r="AM12" s="1"/>
  <c r="AF16" i="2"/>
  <c r="AG16" s="1"/>
  <c r="AV242" i="4"/>
  <c r="AW242" s="1"/>
  <c r="AE16" i="3"/>
  <c r="AI16" s="1"/>
  <c r="AJ16" s="1"/>
  <c r="BP188" i="5"/>
  <c r="BQ188" s="1"/>
  <c r="AE18" i="2"/>
  <c r="AG242" i="4"/>
  <c r="AH242" s="1"/>
  <c r="AY242"/>
  <c r="AZ242" s="1"/>
  <c r="AV190" i="5"/>
  <c r="AW190" s="1"/>
  <c r="AF244"/>
  <c r="BN244" s="1"/>
  <c r="AZ193"/>
  <c r="AG188"/>
  <c r="AH188" s="1"/>
  <c r="AV188"/>
  <c r="AF16" i="3" l="1"/>
  <c r="AG16" s="1"/>
  <c r="BA188" i="5"/>
  <c r="AW188"/>
  <c r="AE18" i="3"/>
  <c r="AI18" i="2"/>
  <c r="AJ18" s="1"/>
  <c r="AF18"/>
  <c r="AG18" s="1"/>
  <c r="AG244" i="5"/>
  <c r="AH244" s="1"/>
  <c r="AV244"/>
  <c r="AW244" s="1"/>
  <c r="BP244"/>
  <c r="BQ244" s="1"/>
  <c r="AI18" i="3" l="1"/>
  <c r="AJ18" s="1"/>
  <c r="AF18"/>
  <c r="AG18" s="1"/>
</calcChain>
</file>

<file path=xl/comments1.xml><?xml version="1.0" encoding="utf-8"?>
<comments xmlns="http://schemas.openxmlformats.org/spreadsheetml/2006/main">
  <authors>
    <author>Jenny Reed</author>
    <author>silverman</author>
    <author>Ed Lazere</author>
    <author>gajdeczka</author>
  </authors>
  <commentList>
    <comment ref="BN21" authorId="0" guid="{0946B5CA-D7BE-4127-829B-D4F0ACD0C755}">
      <text>
        <r>
          <rPr>
            <b/>
            <sz val="8"/>
            <color indexed="81"/>
            <rFont val="Tahoma"/>
            <family val="2"/>
          </rPr>
          <t>Jenny Reed:</t>
        </r>
        <r>
          <rPr>
            <sz val="8"/>
            <color indexed="81"/>
            <rFont val="Tahoma"/>
            <family val="2"/>
          </rPr>
          <t xml:space="preserve">
Removed $1.36 mil that had been shifted from DDOT
</t>
        </r>
      </text>
    </comment>
    <comment ref="BO21" authorId="1" guid="{BE919C5C-E229-4C69-8FDF-0A011838E1B1}">
      <text>
        <r>
          <rPr>
            <b/>
            <sz val="9"/>
            <color indexed="81"/>
            <rFont val="Tahoma"/>
            <charset val="1"/>
          </rPr>
          <t>silverman:</t>
        </r>
        <r>
          <rPr>
            <sz val="9"/>
            <color indexed="81"/>
            <rFont val="Tahoma"/>
            <charset val="1"/>
          </rPr>
          <t xml:space="preserve">
Shift of $1.36 million from DDOT
</t>
        </r>
      </text>
    </comment>
    <comment ref="BE25" authorId="2" guid="{95F388C9-A991-43DD-A81F-E3B12F95F37A}">
      <text>
        <r>
          <rPr>
            <b/>
            <sz val="9"/>
            <color indexed="81"/>
            <rFont val="Tahoma"/>
            <family val="2"/>
          </rPr>
          <t>Ed Lazere:</t>
        </r>
        <r>
          <rPr>
            <sz val="9"/>
            <color indexed="81"/>
            <rFont val="Tahoma"/>
            <family val="2"/>
          </rPr>
          <t xml:space="preserve">
See Budget Shifts tab &amp; FY2013 notes tab
</t>
        </r>
      </text>
    </comment>
    <comment ref="BN25" authorId="2" guid="{9F54E7AE-FDF7-4C85-AF21-034078663D7F}">
      <text>
        <r>
          <rPr>
            <b/>
            <sz val="9"/>
            <color indexed="81"/>
            <rFont val="Tahoma"/>
            <family val="2"/>
          </rPr>
          <t>Ed Lazere:</t>
        </r>
        <r>
          <rPr>
            <sz val="9"/>
            <color indexed="81"/>
            <rFont val="Tahoma"/>
            <family val="2"/>
          </rPr>
          <t xml:space="preserve">
see Budget Shifts tab
</t>
        </r>
      </text>
    </comment>
    <comment ref="BN34" authorId="0" guid="{771E8A8A-E31E-4B30-9136-3F6985B12BF3}">
      <text>
        <r>
          <rPr>
            <b/>
            <sz val="8"/>
            <color indexed="81"/>
            <rFont val="Tahoma"/>
            <family val="2"/>
          </rPr>
          <t>Jenny Reed:</t>
        </r>
        <r>
          <rPr>
            <sz val="8"/>
            <color indexed="81"/>
            <rFont val="Tahoma"/>
            <family val="2"/>
          </rPr>
          <t xml:space="preserve">
Removed $2.2 million that had been shifted from DMV to OTR
</t>
        </r>
      </text>
    </comment>
    <comment ref="BO34" authorId="1" guid="{3FB44D3E-F6EF-4B09-813A-B0046A19EAD4}">
      <text>
        <r>
          <rPr>
            <b/>
            <sz val="9"/>
            <color indexed="81"/>
            <rFont val="Tahoma"/>
            <charset val="1"/>
          </rPr>
          <t>silverman:</t>
        </r>
        <r>
          <rPr>
            <sz val="9"/>
            <color indexed="81"/>
            <rFont val="Tahoma"/>
            <charset val="1"/>
          </rPr>
          <t xml:space="preserve">
shift from DMV to OTR
</t>
        </r>
      </text>
    </comment>
    <comment ref="BE37" authorId="2" guid="{EF45F922-4B3B-4188-98FC-55F65ED1D03C}">
      <text>
        <r>
          <rPr>
            <b/>
            <sz val="9"/>
            <color indexed="81"/>
            <rFont val="Tahoma"/>
            <family val="2"/>
          </rPr>
          <t>Ed Lazere:</t>
        </r>
        <r>
          <rPr>
            <sz val="9"/>
            <color indexed="81"/>
            <rFont val="Tahoma"/>
            <family val="2"/>
          </rPr>
          <t xml:space="preserve">
This was moved into Dep Mayor for Pub Sfety
</t>
        </r>
      </text>
    </comment>
    <comment ref="BN85" authorId="2" guid="{73B653A3-FB37-419C-984B-0D91E7E90998}">
      <text>
        <r>
          <rPr>
            <b/>
            <sz val="9"/>
            <color indexed="81"/>
            <rFont val="Tahoma"/>
            <family val="2"/>
          </rPr>
          <t>Ed Lazere:</t>
        </r>
        <r>
          <rPr>
            <sz val="9"/>
            <color indexed="81"/>
            <rFont val="Tahoma"/>
            <family val="2"/>
          </rPr>
          <t xml:space="preserve">
see Budget Shifts tab
</t>
        </r>
      </text>
    </comment>
    <comment ref="BN100" authorId="2" guid="{A7F0BABC-B92D-46FF-A7DD-062DDC8600E1}">
      <text>
        <r>
          <rPr>
            <b/>
            <sz val="9"/>
            <color indexed="81"/>
            <rFont val="Tahoma"/>
            <family val="2"/>
          </rPr>
          <t>Ed Lazere:</t>
        </r>
        <r>
          <rPr>
            <sz val="9"/>
            <color indexed="81"/>
            <rFont val="Tahoma"/>
            <family val="2"/>
          </rPr>
          <t xml:space="preserve">
see Budget Shifts tab
</t>
        </r>
      </text>
    </comment>
    <comment ref="AX121" authorId="0" guid="{C6EA9A1E-F6B3-4B4B-A5F3-2B8257FB79F1}">
      <text>
        <r>
          <rPr>
            <b/>
            <sz val="8"/>
            <color indexed="81"/>
            <rFont val="Tahoma"/>
            <family val="2"/>
          </rPr>
          <t>Jenny Reed:</t>
        </r>
        <r>
          <rPr>
            <sz val="8"/>
            <color indexed="81"/>
            <rFont val="Tahoma"/>
            <family val="2"/>
          </rPr>
          <t xml:space="preserve">
Added $11 million to account for stimulus money lost in FY 2012
</t>
        </r>
      </text>
    </comment>
    <comment ref="AX124" authorId="0" guid="{3DB589BE-2D02-408B-A677-49A445A0ACDD}">
      <text>
        <r>
          <rPr>
            <b/>
            <sz val="8"/>
            <color indexed="81"/>
            <rFont val="Tahoma"/>
            <family val="2"/>
          </rPr>
          <t>Jenny Reed:</t>
        </r>
        <r>
          <rPr>
            <sz val="8"/>
            <color indexed="81"/>
            <rFont val="Tahoma"/>
            <family val="2"/>
          </rPr>
          <t xml:space="preserve">
Added $7m to account for loss of stimulus money in FY 2012
</t>
        </r>
      </text>
    </comment>
    <comment ref="BE129" authorId="2" guid="{BE5500AE-980E-449B-B039-ECC44CA18547}">
      <text>
        <r>
          <rPr>
            <b/>
            <sz val="9"/>
            <color indexed="81"/>
            <rFont val="Tahoma"/>
            <family val="2"/>
          </rPr>
          <t>Ed Lazere:</t>
        </r>
        <r>
          <rPr>
            <sz val="9"/>
            <color indexed="81"/>
            <rFont val="Tahoma"/>
            <family val="2"/>
          </rPr>
          <t xml:space="preserve">
see Budget Shifts tab
</t>
        </r>
      </text>
    </comment>
    <comment ref="BN129" authorId="2" guid="{6C6F303B-FB55-42A3-B516-2885CC0971D3}">
      <text>
        <r>
          <rPr>
            <b/>
            <sz val="9"/>
            <color indexed="81"/>
            <rFont val="Tahoma"/>
            <family val="2"/>
          </rPr>
          <t>Ed Lazere:</t>
        </r>
        <r>
          <rPr>
            <sz val="9"/>
            <color indexed="81"/>
            <rFont val="Tahoma"/>
            <family val="2"/>
          </rPr>
          <t xml:space="preserve">
See Budget Shifts tab
</t>
        </r>
      </text>
    </comment>
    <comment ref="AP133" authorId="0" guid="{AE3FB40A-0B9E-4A2D-9C14-3EC40CCA27E1}">
      <text>
        <r>
          <rPr>
            <b/>
            <sz val="8"/>
            <color indexed="81"/>
            <rFont val="Tahoma"/>
            <family val="2"/>
          </rPr>
          <t>Jenny Reed:</t>
        </r>
        <r>
          <rPr>
            <sz val="8"/>
            <color indexed="81"/>
            <rFont val="Tahoma"/>
            <family val="2"/>
          </rPr>
          <t xml:space="preserve">
Note: Many agencies were excepted from the fixed cost shift in FY 2011 (ones with MOE matches).  
</t>
        </r>
      </text>
    </comment>
    <comment ref="AX146" authorId="0" guid="{8C4C05E2-431B-41BA-90CA-FAA3399AF088}">
      <text>
        <r>
          <rPr>
            <b/>
            <sz val="8"/>
            <color indexed="81"/>
            <rFont val="Tahoma"/>
            <family val="2"/>
          </rPr>
          <t>Jenny Reed:</t>
        </r>
        <r>
          <rPr>
            <sz val="8"/>
            <color indexed="81"/>
            <rFont val="Tahoma"/>
            <family val="2"/>
          </rPr>
          <t xml:space="preserve">
Added $14 million to account for loss of stimulus money in FY 2012
</t>
        </r>
      </text>
    </comment>
    <comment ref="BN150" authorId="2" guid="{6CB1ABB0-25C3-46AB-97AC-0C17BD506C4D}">
      <text>
        <r>
          <rPr>
            <b/>
            <sz val="9"/>
            <color indexed="81"/>
            <rFont val="Tahoma"/>
            <family val="2"/>
          </rPr>
          <t>Ed Lazere:</t>
        </r>
        <r>
          <rPr>
            <sz val="9"/>
            <color indexed="81"/>
            <rFont val="Tahoma"/>
            <family val="2"/>
          </rPr>
          <t xml:space="preserve">
See Budget Shifts tab
</t>
        </r>
      </text>
    </comment>
    <comment ref="BE151" authorId="2" guid="{56A3623A-7501-4370-9D7C-65DF1A37E31B}">
      <text>
        <r>
          <rPr>
            <b/>
            <sz val="9"/>
            <color indexed="81"/>
            <rFont val="Tahoma"/>
            <family val="2"/>
          </rPr>
          <t>Ed Lazere:</t>
        </r>
        <r>
          <rPr>
            <sz val="9"/>
            <color indexed="81"/>
            <rFont val="Tahoma"/>
            <family val="2"/>
          </rPr>
          <t xml:space="preserve">
see Budget Shifts tab
</t>
        </r>
      </text>
    </comment>
    <comment ref="BN151" authorId="2" guid="{C86E8E91-8451-4477-89CF-34FADEEA05A3}">
      <text>
        <r>
          <rPr>
            <b/>
            <sz val="9"/>
            <color indexed="81"/>
            <rFont val="Tahoma"/>
            <family val="2"/>
          </rPr>
          <t>Ed Lazere:</t>
        </r>
        <r>
          <rPr>
            <sz val="9"/>
            <color indexed="81"/>
            <rFont val="Tahoma"/>
            <family val="2"/>
          </rPr>
          <t xml:space="preserve">
see Budget Shifts tab
</t>
        </r>
      </text>
    </comment>
    <comment ref="AX163" authorId="0" guid="{F3621B1B-3519-4CDE-A0A0-CFC793F9EEF3}">
      <text>
        <r>
          <rPr>
            <b/>
            <sz val="8"/>
            <color indexed="81"/>
            <rFont val="Tahoma"/>
            <family val="2"/>
          </rPr>
          <t>Jenny Reed:</t>
        </r>
        <r>
          <rPr>
            <sz val="8"/>
            <color indexed="81"/>
            <rFont val="Tahoma"/>
            <family val="2"/>
          </rPr>
          <t xml:space="preserve">
Added $80.7 m to account for stimulus
</t>
        </r>
      </text>
    </comment>
    <comment ref="BN180" authorId="0" guid="{C406E86D-3C26-48D2-95F1-4F52DBA32C84}">
      <text>
        <r>
          <rPr>
            <b/>
            <sz val="8"/>
            <color indexed="81"/>
            <rFont val="Tahoma"/>
            <family val="2"/>
          </rPr>
          <t>Jenny Reed:</t>
        </r>
        <r>
          <rPr>
            <sz val="8"/>
            <color indexed="81"/>
            <rFont val="Tahoma"/>
            <family val="2"/>
          </rPr>
          <t xml:space="preserve">
Approx. $50.6m transferred to WMATA in FY 2013, previously included in DDOT's budget
</t>
        </r>
      </text>
    </comment>
    <comment ref="BN185" authorId="0" guid="{611826FA-86BB-46E3-83D9-885048A50531}">
      <text>
        <r>
          <rPr>
            <b/>
            <sz val="8"/>
            <color indexed="81"/>
            <rFont val="Tahoma"/>
            <family val="2"/>
          </rPr>
          <t>Jenny Reed:</t>
        </r>
        <r>
          <rPr>
            <sz val="8"/>
            <color indexed="81"/>
            <rFont val="Tahoma"/>
            <family val="2"/>
          </rPr>
          <t xml:space="preserve">
Includes about $50.6m transferred from DDOT that used to be done via intra-district
</t>
        </r>
      </text>
    </comment>
    <comment ref="BE187" authorId="3" guid="{FC5B353C-8015-4459-9FB3-672B7D7989B6}">
      <text>
        <r>
          <rPr>
            <b/>
            <sz val="8"/>
            <color indexed="81"/>
            <rFont val="Tahoma"/>
            <family val="2"/>
          </rPr>
          <t>gajdeczka:</t>
        </r>
        <r>
          <rPr>
            <sz val="8"/>
            <color indexed="81"/>
            <rFont val="Tahoma"/>
            <family val="2"/>
          </rPr>
          <t xml:space="preserve">
move to DDOT
</t>
        </r>
      </text>
    </comment>
  </commentList>
</comments>
</file>

<file path=xl/comments2.xml><?xml version="1.0" encoding="utf-8"?>
<comments xmlns="http://schemas.openxmlformats.org/spreadsheetml/2006/main">
  <authors>
    <author>Jenny Reed</author>
    <author>silverman</author>
    <author>Ed Lazere</author>
    <author>healy</author>
  </authors>
  <commentList>
    <comment ref="BW21" authorId="0" guid="{76D8F8FF-89E7-45DD-8796-48AC0D410C90}">
      <text>
        <r>
          <rPr>
            <b/>
            <sz val="8"/>
            <color indexed="81"/>
            <rFont val="Tahoma"/>
            <family val="2"/>
          </rPr>
          <t>Jenny Reed:</t>
        </r>
        <r>
          <rPr>
            <sz val="8"/>
            <color indexed="81"/>
            <rFont val="Tahoma"/>
            <family val="2"/>
          </rPr>
          <t xml:space="preserve">
Removed $1.36 mil that had been shifted from DDOT
</t>
        </r>
      </text>
    </comment>
    <comment ref="BY21" authorId="1" guid="{B9B6051D-4033-424A-92DE-C25DC37D71B0}">
      <text>
        <r>
          <rPr>
            <b/>
            <sz val="9"/>
            <color indexed="81"/>
            <rFont val="Tahoma"/>
            <charset val="1"/>
          </rPr>
          <t>silverman:</t>
        </r>
        <r>
          <rPr>
            <sz val="9"/>
            <color indexed="81"/>
            <rFont val="Tahoma"/>
            <charset val="1"/>
          </rPr>
          <t xml:space="preserve">
Shift of $1.36 million from DDOT
</t>
        </r>
      </text>
    </comment>
    <comment ref="BW25" authorId="2" guid="{F9782E22-2584-4EB6-92E9-71B4170DF583}">
      <text>
        <r>
          <rPr>
            <b/>
            <sz val="9"/>
            <color indexed="81"/>
            <rFont val="Tahoma"/>
            <family val="2"/>
          </rPr>
          <t>Ed Lazere:</t>
        </r>
        <r>
          <rPr>
            <sz val="9"/>
            <color indexed="81"/>
            <rFont val="Tahoma"/>
            <family val="2"/>
          </rPr>
          <t xml:space="preserve">
see Budget Shifts tab
</t>
        </r>
      </text>
    </comment>
    <comment ref="BW34" authorId="0" guid="{55E8F8DF-BAA8-4E55-8B7F-BF02914EEB09}">
      <text>
        <r>
          <rPr>
            <b/>
            <sz val="8"/>
            <color indexed="81"/>
            <rFont val="Tahoma"/>
            <family val="2"/>
          </rPr>
          <t>Jenny Reed:</t>
        </r>
        <r>
          <rPr>
            <sz val="8"/>
            <color indexed="81"/>
            <rFont val="Tahoma"/>
            <family val="2"/>
          </rPr>
          <t xml:space="preserve">
Removed $2.2 million that had been shifted from DMV to OTR
</t>
        </r>
      </text>
    </comment>
    <comment ref="BY34" authorId="1" guid="{C9A7C70D-1448-4E49-8C64-1C966AF9397F}">
      <text>
        <r>
          <rPr>
            <b/>
            <sz val="9"/>
            <color indexed="81"/>
            <rFont val="Tahoma"/>
            <charset val="1"/>
          </rPr>
          <t>silverman:</t>
        </r>
        <r>
          <rPr>
            <sz val="9"/>
            <color indexed="81"/>
            <rFont val="Tahoma"/>
            <charset val="1"/>
          </rPr>
          <t xml:space="preserve">
shift from DMV to OTR
</t>
        </r>
      </text>
    </comment>
    <comment ref="BW85" authorId="2" guid="{284FD91A-5081-4DCE-AD71-9C2F2E725BEA}">
      <text>
        <r>
          <rPr>
            <b/>
            <sz val="9"/>
            <color indexed="81"/>
            <rFont val="Tahoma"/>
            <family val="2"/>
          </rPr>
          <t>Ed Lazere:</t>
        </r>
        <r>
          <rPr>
            <sz val="9"/>
            <color indexed="81"/>
            <rFont val="Tahoma"/>
            <family val="2"/>
          </rPr>
          <t xml:space="preserve">
see Budget Shifts tab
</t>
        </r>
      </text>
    </comment>
    <comment ref="A91" authorId="3" guid="{7E5EA33B-210B-4FF9-960F-D4CA3974EC6E}">
      <text>
        <r>
          <rPr>
            <b/>
            <sz val="8"/>
            <color indexed="81"/>
            <rFont val="Tahoma"/>
            <family val="2"/>
          </rPr>
          <t>healy:</t>
        </r>
        <r>
          <rPr>
            <sz val="8"/>
            <color indexed="81"/>
            <rFont val="Tahoma"/>
            <family val="2"/>
          </rPr>
          <t xml:space="preserve">
This looks to be the same as the above category minus homeland security</t>
        </r>
      </text>
    </comment>
    <comment ref="A95" authorId="3" guid="{DCF73FA1-5054-4B7C-96CA-75BC462822A7}">
      <text>
        <r>
          <rPr>
            <b/>
            <sz val="8"/>
            <color indexed="81"/>
            <rFont val="Tahoma"/>
            <family val="2"/>
          </rPr>
          <t>healy:</t>
        </r>
        <r>
          <rPr>
            <sz val="8"/>
            <color indexed="81"/>
            <rFont val="Tahoma"/>
            <family val="2"/>
          </rPr>
          <t xml:space="preserve">
this category is named "Sentencing Commision" between 2000-3… is this the same thing?</t>
        </r>
      </text>
    </comment>
    <comment ref="BW100" authorId="2" guid="{DDFEB416-1C85-4364-8DCC-7897D16B5DA1}">
      <text>
        <r>
          <rPr>
            <b/>
            <sz val="9"/>
            <color indexed="81"/>
            <rFont val="Tahoma"/>
            <family val="2"/>
          </rPr>
          <t>Ed Lazere:</t>
        </r>
        <r>
          <rPr>
            <sz val="9"/>
            <color indexed="81"/>
            <rFont val="Tahoma"/>
            <family val="2"/>
          </rPr>
          <t xml:space="preserve">
see Budget Shifts tab
</t>
        </r>
      </text>
    </comment>
    <comment ref="A125" authorId="3" guid="{EB5B7141-87DF-46F5-864D-36BB730BF1DF}">
      <text>
        <r>
          <rPr>
            <b/>
            <sz val="8"/>
            <color indexed="81"/>
            <rFont val="Tahoma"/>
            <family val="2"/>
          </rPr>
          <t xml:space="preserve">healy:
</t>
        </r>
        <r>
          <rPr>
            <sz val="8"/>
            <color indexed="81"/>
            <rFont val="Tahoma"/>
            <family val="2"/>
          </rPr>
          <t>My budget book says funding for this agency was 0 in 2002 &amp; 2003</t>
        </r>
      </text>
    </comment>
    <comment ref="BW129" authorId="2" guid="{BFDA44D3-BD07-4964-892E-53D0373A6EA2}">
      <text>
        <r>
          <rPr>
            <b/>
            <sz val="9"/>
            <color indexed="81"/>
            <rFont val="Tahoma"/>
            <family val="2"/>
          </rPr>
          <t>Ed Lazere:</t>
        </r>
        <r>
          <rPr>
            <sz val="9"/>
            <color indexed="81"/>
            <rFont val="Tahoma"/>
            <family val="2"/>
          </rPr>
          <t xml:space="preserve">
See Budget Shifts tab
</t>
        </r>
      </text>
    </comment>
    <comment ref="BW150" authorId="2" guid="{8A42044D-98A1-44E1-A178-C92A732F5102}">
      <text>
        <r>
          <rPr>
            <b/>
            <sz val="9"/>
            <color indexed="81"/>
            <rFont val="Tahoma"/>
            <family val="2"/>
          </rPr>
          <t>Ed Lazere:</t>
        </r>
        <r>
          <rPr>
            <sz val="9"/>
            <color indexed="81"/>
            <rFont val="Tahoma"/>
            <family val="2"/>
          </rPr>
          <t xml:space="preserve">
See Budget Shifts tab
</t>
        </r>
      </text>
    </comment>
    <comment ref="BW151" authorId="2" guid="{DF15E7EF-990B-4A2C-9D02-F9285B3AB174}">
      <text>
        <r>
          <rPr>
            <b/>
            <sz val="9"/>
            <color indexed="81"/>
            <rFont val="Tahoma"/>
            <family val="2"/>
          </rPr>
          <t>Ed Lazere:</t>
        </r>
        <r>
          <rPr>
            <sz val="9"/>
            <color indexed="81"/>
            <rFont val="Tahoma"/>
            <family val="2"/>
          </rPr>
          <t xml:space="preserve">
see Budget Shifts tab
</t>
        </r>
      </text>
    </comment>
    <comment ref="BL163" authorId="0" guid="{C7264117-9457-4B3D-8D19-AE611F9EA44B}">
      <text>
        <r>
          <rPr>
            <b/>
            <sz val="8"/>
            <color indexed="81"/>
            <rFont val="Tahoma"/>
            <family val="2"/>
          </rPr>
          <t>Jenny Reed:</t>
        </r>
        <r>
          <rPr>
            <sz val="8"/>
            <color indexed="81"/>
            <rFont val="Tahoma"/>
            <family val="2"/>
          </rPr>
          <t xml:space="preserve">
Note: 80.7 million was added in FY 2011 to account for expiring federal stimulus funds</t>
        </r>
      </text>
    </comment>
    <comment ref="BW180" authorId="0" guid="{22E659FB-2958-4C41-8CA6-26D5E92292BD}">
      <text>
        <r>
          <rPr>
            <b/>
            <sz val="8"/>
            <color indexed="81"/>
            <rFont val="Tahoma"/>
            <family val="2"/>
          </rPr>
          <t>Jenny Reed:</t>
        </r>
        <r>
          <rPr>
            <sz val="8"/>
            <color indexed="81"/>
            <rFont val="Tahoma"/>
            <family val="2"/>
          </rPr>
          <t xml:space="preserve">
Approx. $50.6m transferred to WMATA in FY 2013, previously included in DDOT's budget
</t>
        </r>
      </text>
    </comment>
    <comment ref="BW185" authorId="0" guid="{579DD3E3-1B0C-44C1-90D1-FB2C937630FC}">
      <text>
        <r>
          <rPr>
            <b/>
            <sz val="8"/>
            <color indexed="81"/>
            <rFont val="Tahoma"/>
            <family val="2"/>
          </rPr>
          <t>Jenny Reed:</t>
        </r>
        <r>
          <rPr>
            <sz val="8"/>
            <color indexed="81"/>
            <rFont val="Tahoma"/>
            <family val="2"/>
          </rPr>
          <t xml:space="preserve">
Includes about $50.6m transferred from DDOT that used to be done via intra-district
</t>
        </r>
      </text>
    </comment>
    <comment ref="A214" authorId="3" guid="{46866466-B909-4C2C-BC9F-35EF7E0481D5}">
      <text>
        <r>
          <rPr>
            <b/>
            <sz val="8"/>
            <color indexed="81"/>
            <rFont val="Tahoma"/>
            <family val="2"/>
          </rPr>
          <t>healy:</t>
        </r>
        <r>
          <rPr>
            <sz val="8"/>
            <color indexed="81"/>
            <rFont val="Tahoma"/>
            <family val="2"/>
          </rPr>
          <t xml:space="preserve">
Is this the same as "Repayment of General Fund Deficit Bonds
</t>
        </r>
      </text>
    </comment>
  </commentList>
</comments>
</file>

<file path=xl/sharedStrings.xml><?xml version="1.0" encoding="utf-8"?>
<sst xmlns="http://schemas.openxmlformats.org/spreadsheetml/2006/main" count="2745" uniqueCount="490">
  <si>
    <t>Governmental Direction &amp; Support</t>
  </si>
  <si>
    <t>Council of the District of Columbia</t>
  </si>
  <si>
    <t>Contract Appeals Board</t>
  </si>
  <si>
    <t>Board of Elections and Ethics</t>
  </si>
  <si>
    <t>Office of Campaign Finance</t>
  </si>
  <si>
    <t>Public Employee Relations Board</t>
  </si>
  <si>
    <t>Office of Employee Appeals</t>
  </si>
  <si>
    <t>Metropolitan Washington Council of Governments</t>
  </si>
  <si>
    <t>Department of Employment Services</t>
  </si>
  <si>
    <t>Metropolitan Police Department</t>
  </si>
  <si>
    <t>Fire and Emergency Medical Services Department</t>
  </si>
  <si>
    <t>Police Officers' and Fire Fighters' Retirement</t>
  </si>
  <si>
    <t>Department of Corrections</t>
  </si>
  <si>
    <t>National Guard</t>
  </si>
  <si>
    <t>Commission on Judicial Disabilities and Tenure</t>
  </si>
  <si>
    <t>Judicial Nomination Commission</t>
  </si>
  <si>
    <t>Office of Administrative Hearings</t>
  </si>
  <si>
    <t>Corrections Information Council</t>
  </si>
  <si>
    <t>Criminal Justice Coordinating Council</t>
  </si>
  <si>
    <t>Teachers' Retirement System</t>
  </si>
  <si>
    <t xml:space="preserve">DC Public Charter Schools    </t>
  </si>
  <si>
    <t>Public Library</t>
  </si>
  <si>
    <t>Commission of the Arts and Humanities</t>
  </si>
  <si>
    <t>Office of Aging</t>
  </si>
  <si>
    <t>Unemployment Compensation</t>
  </si>
  <si>
    <t>Disability Compensation</t>
  </si>
  <si>
    <t>Office on Human Rights</t>
  </si>
  <si>
    <t>Office of Latino Affairs</t>
  </si>
  <si>
    <t>Asian and Pacific Islander Affairs</t>
  </si>
  <si>
    <t>Office of Veterans Affairs</t>
  </si>
  <si>
    <t>Public Works</t>
  </si>
  <si>
    <t>Department of Motor Vehicles</t>
  </si>
  <si>
    <t>Taxicab Commission</t>
  </si>
  <si>
    <t>Washington Metropolitan Area Transit Commission</t>
  </si>
  <si>
    <t>Washington Metropolitan Area Transit Authority</t>
  </si>
  <si>
    <t>School Transit Subsidy</t>
  </si>
  <si>
    <t xml:space="preserve">Repayment of Loans and Interest </t>
  </si>
  <si>
    <t>Short-term Borrowing</t>
  </si>
  <si>
    <t>Certificate of Participation - One Judiciary Square</t>
  </si>
  <si>
    <t>Workforce Investments</t>
  </si>
  <si>
    <t>Tobacco Trust Fund</t>
  </si>
  <si>
    <t xml:space="preserve">Non-Departmental   </t>
  </si>
  <si>
    <t>Equipment Lease Operating</t>
  </si>
  <si>
    <t>Appropriation Title</t>
  </si>
  <si>
    <t>FY 2006</t>
  </si>
  <si>
    <t>Baseline</t>
  </si>
  <si>
    <t>FY2005</t>
  </si>
  <si>
    <t>FY 2004</t>
  </si>
  <si>
    <t>Total</t>
  </si>
  <si>
    <t xml:space="preserve">Government of the District of Columbia </t>
  </si>
  <si>
    <t xml:space="preserve">Economic Development &amp; Regulation  </t>
  </si>
  <si>
    <t xml:space="preserve">Public Safety &amp; Justice  </t>
  </si>
  <si>
    <t>Public Education</t>
  </si>
  <si>
    <t xml:space="preserve">Human Support Services  </t>
  </si>
  <si>
    <t>Financing and Other Uses</t>
  </si>
  <si>
    <t xml:space="preserve">Subtotal: Governmental Direction &amp; Support </t>
  </si>
  <si>
    <t>Subtotal: Economic Development &amp; Regulation</t>
  </si>
  <si>
    <t>Public Safety &amp; Justice</t>
  </si>
  <si>
    <t>Subtotal: Public Safety &amp; Justice</t>
  </si>
  <si>
    <t>Subtotal: Public Education</t>
  </si>
  <si>
    <t>Subtotal: Human Support Services</t>
  </si>
  <si>
    <t>Subtotal: Public Works</t>
  </si>
  <si>
    <t>Subtotal: Financing and Other Uses</t>
  </si>
  <si>
    <t>Office of Planning</t>
  </si>
  <si>
    <t>Office of Zoning</t>
  </si>
  <si>
    <t xml:space="preserve">Department of Housing and Community Development  </t>
  </si>
  <si>
    <t xml:space="preserve">Board of Real Property Assessments and Appeals </t>
  </si>
  <si>
    <t>Department of Consumer and Regulatory Affairs</t>
  </si>
  <si>
    <t>Human Support Services</t>
  </si>
  <si>
    <t>Office of the Chief Medical Examiner</t>
  </si>
  <si>
    <t xml:space="preserve">Department of Human Services    </t>
  </si>
  <si>
    <t>Department of Public Works</t>
  </si>
  <si>
    <t>Office of the Inspector General</t>
  </si>
  <si>
    <t>Office of the Chief Financial Officer</t>
  </si>
  <si>
    <t>Children and Youth Investment Collaborative</t>
  </si>
  <si>
    <t>Debt Service - Issuance Costs</t>
  </si>
  <si>
    <t>Actual</t>
  </si>
  <si>
    <t>* Figures have not been adjusted for inflation.</t>
  </si>
  <si>
    <t>—</t>
  </si>
  <si>
    <t>Pay-Go Contingency</t>
  </si>
  <si>
    <t>Medicaid Reserve</t>
  </si>
  <si>
    <t>Grant Disallowance</t>
  </si>
  <si>
    <t>Notes for Economic Development &amp; Regulation:</t>
  </si>
  <si>
    <t>Office of Police Complaints*</t>
  </si>
  <si>
    <t>Notes for Public Safety &amp; Justice:</t>
  </si>
  <si>
    <t>Notes for Human Support Services:</t>
  </si>
  <si>
    <t>Department of Parks and Recreation</t>
  </si>
  <si>
    <t>FY2006</t>
  </si>
  <si>
    <t>Retiree Health Contribution</t>
  </si>
  <si>
    <t>$</t>
  </si>
  <si>
    <t>%</t>
  </si>
  <si>
    <t>Change FY '03 - '04</t>
  </si>
  <si>
    <t>Change FY '04 - '05</t>
  </si>
  <si>
    <t>School Modernization Fund</t>
  </si>
  <si>
    <t>DC Housing Authority Subsidy</t>
  </si>
  <si>
    <t>FY 2007</t>
  </si>
  <si>
    <t>Change FY '05-'06</t>
  </si>
  <si>
    <t xml:space="preserve">Child and Family Services   </t>
  </si>
  <si>
    <t xml:space="preserve">Department of Mental Health   </t>
  </si>
  <si>
    <t>Settlements and Judgements</t>
  </si>
  <si>
    <t>Change FY '05 - '06</t>
  </si>
  <si>
    <t>Anacostia Waterfront Corporation Subsidy</t>
  </si>
  <si>
    <t xml:space="preserve">Office of Small and Local Business Development*   </t>
  </si>
  <si>
    <t>Office of Motion Picture &amp; Television Development*</t>
  </si>
  <si>
    <t xml:space="preserve">Notes for Public Works: </t>
  </si>
  <si>
    <t>Repayment of Revenue Bonds (HPTF Securitization)</t>
  </si>
  <si>
    <t>FY 2008</t>
  </si>
  <si>
    <t>Public Service Commission</t>
  </si>
  <si>
    <t>Alcoholic Beverage Regulation Administration</t>
  </si>
  <si>
    <t>Office of the People's Counsel</t>
  </si>
  <si>
    <t>Department of Insurance, Securities and Banking</t>
  </si>
  <si>
    <t>Office of Cable Television and Telecommunications</t>
  </si>
  <si>
    <t>Office of Victim Services</t>
  </si>
  <si>
    <t>Justice Grants Administration</t>
  </si>
  <si>
    <t>* Includes Local and Special Purpose (General) Funds only</t>
  </si>
  <si>
    <t>Inflator</t>
  </si>
  <si>
    <t>* Includes Local and Special Purpose RevenueFunds only</t>
  </si>
  <si>
    <t>Department of Transportation*</t>
  </si>
  <si>
    <t>District Department of the Environment**</t>
  </si>
  <si>
    <t>* The FY 2008 budget includes roughly $68 million in transportation funds that in prior year were reported in the DOT capital budget</t>
  </si>
  <si>
    <t>TOTAL, GENERAL OPERATING FUNDS</t>
  </si>
  <si>
    <t>Office of Unified Communications</t>
  </si>
  <si>
    <t>Notes for Public Education</t>
  </si>
  <si>
    <t>**This agency was established in FY 2007.</t>
  </si>
  <si>
    <t>DC Sports Commission Subsidy</t>
  </si>
  <si>
    <t>Baseball Dedicated Tax Transfer</t>
  </si>
  <si>
    <t>Section 103 Judgements-Gov Dir and Support</t>
  </si>
  <si>
    <t xml:space="preserve">— </t>
  </si>
  <si>
    <t>Change FY '06 - '07</t>
  </si>
  <si>
    <t>FY2009</t>
  </si>
  <si>
    <t>* All figures are in thousands ($000's), i.e. the $6,444,728 total proposed budget for FY 2009 is really $6,444,728,000.</t>
  </si>
  <si>
    <t>Serve DC</t>
  </si>
  <si>
    <t>DC Public Schools**</t>
  </si>
  <si>
    <t>Non-public Tuition**</t>
  </si>
  <si>
    <t>Special Education Transportation**</t>
  </si>
  <si>
    <t>** In FY 2009, these functions were separated from DC Public Schools</t>
  </si>
  <si>
    <t xml:space="preserve">     In FY 2009, maintenance functions in DCPS were transferred to this agency</t>
  </si>
  <si>
    <t>Fiscal Year 2009 Budget</t>
  </si>
  <si>
    <t>Local</t>
  </si>
  <si>
    <t>`</t>
  </si>
  <si>
    <t>Office of Contracting and Procurement</t>
  </si>
  <si>
    <t>Homeland Security and Emergency Management Agency</t>
  </si>
  <si>
    <t>Sentencing and Criminal Code Revision Commision</t>
  </si>
  <si>
    <t>University of the District of Columbia Subsidy Account</t>
  </si>
  <si>
    <t>DC Public Charter School Board</t>
  </si>
  <si>
    <t>John A. Wilson Building Fund</t>
  </si>
  <si>
    <t>Pay-As-You-Go Capital Fund</t>
  </si>
  <si>
    <t>Motor Vehicle Theft Prevention Commission (FW)</t>
  </si>
  <si>
    <t>Emergency Planning and Security Fund (EP)</t>
  </si>
  <si>
    <t>Has not completed FY10 budget formulation submission - not included in baseline budget</t>
  </si>
  <si>
    <t>Highway Trust Fund Transfer - Dedicated Taxes</t>
  </si>
  <si>
    <t>Convention Center Transfer - Dedicated Taxes</t>
  </si>
  <si>
    <t>TIF and PILOT Transfer - Dedicated Taxes</t>
  </si>
  <si>
    <t>* All dollar figures are in thousands ($000's)</t>
  </si>
  <si>
    <t>Change FY '07-'08</t>
  </si>
  <si>
    <t>FY 2009</t>
  </si>
  <si>
    <t>FY 2010</t>
  </si>
  <si>
    <t>Change FY '08-'09</t>
  </si>
  <si>
    <t>Notes for Government Direction &amp; Support</t>
  </si>
  <si>
    <t>*This agency does not exist after 2007</t>
  </si>
  <si>
    <t>Customer Service Operations*</t>
  </si>
  <si>
    <t>**This agency was first proposed n 2010</t>
  </si>
  <si>
    <t>Section 103 Judgements Gov Dir and Support***</t>
  </si>
  <si>
    <t>***This line item first appears in 2008</t>
  </si>
  <si>
    <t>Deputy Mayor for Planning and Economic Development*</t>
  </si>
  <si>
    <t>Board of Appeals and Review**</t>
  </si>
  <si>
    <t>Office of the Tenant Advocate***</t>
  </si>
  <si>
    <t>Department of Banking and Financial Institutions**</t>
  </si>
  <si>
    <t>Housing Production Trust Fund****</t>
  </si>
  <si>
    <t>**** Prior to FY 2007, HPTF was part of the budget of the Deputy Mayor for Planning and Economic Development.</t>
  </si>
  <si>
    <t>* Prior to FY 2003, these three agencies were budgeted together under the Deputy Mayor for Planning and Economic Development.</t>
  </si>
  <si>
    <t>** This agency was removed in 2005.</t>
  </si>
  <si>
    <t>*** This agency was established in the FY 2008 budget.</t>
  </si>
  <si>
    <t>Forensic Laboratory Technician Training Program**</t>
  </si>
  <si>
    <t>** Formerly the Forensic Health and Science Laboratory</t>
  </si>
  <si>
    <t>Emergency and Disaster Response***</t>
  </si>
  <si>
    <t>* Formerly the Office of Citizen Complaints</t>
  </si>
  <si>
    <t>*** This agency was eliminated in 2006</t>
  </si>
  <si>
    <t>Office of the State Superintendent of Education***</t>
  </si>
  <si>
    <t>*** Formerly known as the State Education Office</t>
  </si>
  <si>
    <t>Public education facilities modernization office****</t>
  </si>
  <si>
    <t>**** This agency was established in FY 2007</t>
  </si>
  <si>
    <t>Deputy Mayor for Education*</t>
  </si>
  <si>
    <t>* Thisagency was first budgeted in FY 2008 called Department of Education.</t>
  </si>
  <si>
    <t>Section 103 Judgements - Public Education System*****</t>
  </si>
  <si>
    <t>***** This line item added in 2008</t>
  </si>
  <si>
    <t>Section 103 Judgements - Public Safety and Justice ****</t>
  </si>
  <si>
    <t>**** This line item added in 2008</t>
  </si>
  <si>
    <t>Department of Health**</t>
  </si>
  <si>
    <t>** Before FY 2009, the Dept. of Health Care Finance was part of the Dept. of Health</t>
  </si>
  <si>
    <t>DC Energy Office***</t>
  </si>
  <si>
    <t>Department of Youth Rehabilitation Services****</t>
  </si>
  <si>
    <t>Department of Disability Services*****</t>
  </si>
  <si>
    <t>*** Before FY 2007, this agency was part of the Human Services Cluster.  As of FY 2007 it is part of the Department of the Environment, under the Public Works *cluster.</t>
  </si>
  <si>
    <t>Department of Health Care Finance**</t>
  </si>
  <si>
    <t>**** Before FY 2007, this agency was part of the Department of Human Services.</t>
  </si>
  <si>
    <t>***** Before FY 2008, this agency was part of the Department of Human Services.</t>
  </si>
  <si>
    <t>Notes for Financing and Other:</t>
  </si>
  <si>
    <t>Financing and Other</t>
  </si>
  <si>
    <t>Human Resources Development Fund</t>
  </si>
  <si>
    <t>Change FY '09-'10</t>
  </si>
  <si>
    <t xml:space="preserve">Office of the District of Columbia Auditor </t>
  </si>
  <si>
    <t>Advisory Neighborhood Commissions</t>
  </si>
  <si>
    <t>Office of the Mayor</t>
  </si>
  <si>
    <t>Office of the Community Affairs</t>
  </si>
  <si>
    <t>Office of the Secretary</t>
  </si>
  <si>
    <t>Office of the City Administrator</t>
  </si>
  <si>
    <t>D.C. Office of Risk Management</t>
  </si>
  <si>
    <t>D.C. Human Resources</t>
  </si>
  <si>
    <t>Office of Disability Rights*</t>
  </si>
  <si>
    <t>Office of Finance and Resource Management</t>
  </si>
  <si>
    <t>Office of Partnerships and Grants and Services</t>
  </si>
  <si>
    <t xml:space="preserve">Office of the Chief Technology Officer </t>
  </si>
  <si>
    <t>Office of the Attorney General of the District of Columbia</t>
  </si>
  <si>
    <t>Medical Liability Captive Insurance Agency**</t>
  </si>
  <si>
    <t>Business Improvements District Transfer</t>
  </si>
  <si>
    <t>Change FY '07 - '08</t>
  </si>
  <si>
    <t>Change FY '08-'09R</t>
  </si>
  <si>
    <t>Spreadsheet Name</t>
  </si>
  <si>
    <t>Description</t>
  </si>
  <si>
    <t>Shows the factor used to account for inflation for each fiscal year.</t>
  </si>
  <si>
    <t>Fiscal Year</t>
  </si>
  <si>
    <t>Approved Local Budget</t>
  </si>
  <si>
    <t>Approved Special Purpose Revenue</t>
  </si>
  <si>
    <t>**** Prior to FY 2007, HPTF was part of the budget of the Department of Housing nd Community Development.</t>
  </si>
  <si>
    <t>FY 2011</t>
  </si>
  <si>
    <t>CSFL</t>
  </si>
  <si>
    <t>one time</t>
  </si>
  <si>
    <t>Revised Local</t>
  </si>
  <si>
    <t>Revised Gen Fund</t>
  </si>
  <si>
    <t>total CSFL</t>
  </si>
  <si>
    <t>Proposed Gen Fund</t>
  </si>
  <si>
    <t>Fixed Costs</t>
  </si>
  <si>
    <t>Local Total</t>
  </si>
  <si>
    <t>Gen Fund Total</t>
  </si>
  <si>
    <t>Diff from 2010 -- LOCAL</t>
  </si>
  <si>
    <t>Diff from LOCAL - %</t>
  </si>
  <si>
    <t>Diff from GEN FUND</t>
  </si>
  <si>
    <t>Diff from GEN FUND %</t>
  </si>
  <si>
    <t>OCP/DHR</t>
  </si>
  <si>
    <t>Proposed Local</t>
  </si>
  <si>
    <t>FY 2011: In DOT $16,810 m in fixed costs is from SP funds, in DMV$ 114 in fixed costs is in special purpose funds, in Taxi Commission $44 comes from special purpose funds</t>
  </si>
  <si>
    <t>Number above includes 6500 in local funds for HPAP</t>
  </si>
  <si>
    <t>fixed cost agency</t>
  </si>
  <si>
    <t>adjustments</t>
  </si>
  <si>
    <t>net of adjustments</t>
  </si>
  <si>
    <t>net of adjustements</t>
  </si>
  <si>
    <t>DCPS stimulus</t>
  </si>
  <si>
    <t>PCS stimulus</t>
  </si>
  <si>
    <t>medicaid stimulus replaced with local in 2011</t>
  </si>
  <si>
    <t>FY 2009 
Actual</t>
  </si>
  <si>
    <t>COUNCIL OF THE DISTRICT OF COLUMBIA</t>
  </si>
  <si>
    <t>OFFICE OF THE D.C. AUDITOR</t>
  </si>
  <si>
    <t>ADVISORY NEIGHBORHOOD COMMISSIONS</t>
  </si>
  <si>
    <t>OFFICE OF THE MAYOR</t>
  </si>
  <si>
    <t>OFFICE OF COMMUNITY AFFAIRS</t>
  </si>
  <si>
    <t>SERVE DC</t>
  </si>
  <si>
    <t>OFFICE OF THE SECRETARY</t>
  </si>
  <si>
    <t>OFFICE OF THE CITY ADMINISTRATOR</t>
  </si>
  <si>
    <t>D.C. OFFICE OF RISK MANAGEMENT</t>
  </si>
  <si>
    <t>D.C. DEPARTMENT OF HUMAN RESOURCES</t>
  </si>
  <si>
    <t>OFFICE OF DISABILITY RIGHTS</t>
  </si>
  <si>
    <t>MEDICAL LIABILITY CAPTIVE INSURANCE AGENCY</t>
  </si>
  <si>
    <t>OFFICE OF FINANCE &amp; RESOURCE MANAGEMENT</t>
  </si>
  <si>
    <t>OFFICE OF PARTNERSHIP &amp; GRANT SERVICES</t>
  </si>
  <si>
    <t>OFFICE OF CONTRACTING &amp; PROCUREMENT</t>
  </si>
  <si>
    <t>OFFICE OF THE CHIEF TECHNOLOGY OFFICER</t>
  </si>
  <si>
    <t>DEPT. OF REAL ESTATE SERVICES</t>
  </si>
  <si>
    <t>CONTRACT APPEALS BOARD</t>
  </si>
  <si>
    <t>BOARD OF ELECTIONS &amp; ETHICS</t>
  </si>
  <si>
    <t>OFFICE OF CAMPAIGN FINANCE</t>
  </si>
  <si>
    <t>PUBLIC EMPLOYEE RELATIONS BOARD</t>
  </si>
  <si>
    <t>OFFICE OF EMPLOYEE APPEALS</t>
  </si>
  <si>
    <t>METRO. WASHINGTON COUNCIL OF GOVERNMENTS</t>
  </si>
  <si>
    <t>MUNICIPAL FACILITIES: NON-CAPITAL</t>
  </si>
  <si>
    <t>OFFICE OF THE ATTORNEY GENERAL</t>
  </si>
  <si>
    <t>ACCESS TO JUSTICE</t>
  </si>
  <si>
    <t>OFFICE OF THE INSPECTOR GENERAL</t>
  </si>
  <si>
    <t>OFFICE OF THE CHIEF FINANCIAL OFFICER</t>
  </si>
  <si>
    <t>METROPOLITAN POLICE DEPARTMENT</t>
  </si>
  <si>
    <t>FIRE &amp; EMERGENCY SERVICES DEPARTMENT</t>
  </si>
  <si>
    <t>POLICE &amp; FIREFIGHTERS' RETIREMENT SYSTEM</t>
  </si>
  <si>
    <t>DEPARTMENT OF CORRECTIONS</t>
  </si>
  <si>
    <t>D.C. NATIONAL GUARD</t>
  </si>
  <si>
    <t>HOMELAND SECURITY &amp;. EMER. MANAG. AGENCY</t>
  </si>
  <si>
    <t>COMMISSION ON JUDICIAL DISABILITY &amp; TENURE</t>
  </si>
  <si>
    <t>JUDICIAL NOMINATION COMMISSION</t>
  </si>
  <si>
    <t>OFFICE OF POLICE COMPLAINTS</t>
  </si>
  <si>
    <t>D.C. SENTENCING &amp; CRIM. CODE REVISION COMM.</t>
  </si>
  <si>
    <t>OFFICE OF THE CHIEF MEDICAL EXAMINER</t>
  </si>
  <si>
    <t>OFFICE OF ADMINISTRATIVE HEARINGS</t>
  </si>
  <si>
    <t>CORRECTIONS INFORMATION COUNCIL</t>
  </si>
  <si>
    <t>CRIMINAL JUSTICE COORDINATING COUNCIL</t>
  </si>
  <si>
    <t>FORENSIC LABORATORY TECHNICIAN TRAIN. PROG.</t>
  </si>
  <si>
    <t>OFFICE OF UNIFIED COMMUNICATIONS</t>
  </si>
  <si>
    <t>EMERGENCY &amp; DISASTER RESPONSE</t>
  </si>
  <si>
    <t>OFFICE OF VICTIM SERVICES</t>
  </si>
  <si>
    <t>JUSTICE GRANTS ADMINISTRATION</t>
  </si>
  <si>
    <t>MOTOR VEHICLE THEFT PREVENTION COMMISSION</t>
  </si>
  <si>
    <t>DEBT SERVICE - REPAYMENT OF LOANS &amp; INTEREST</t>
  </si>
  <si>
    <t>DEBT SERVICE - SHORT-TERM BORROWING</t>
  </si>
  <si>
    <t>DEBT SERVICE - CERTIFICATES OF PARTICIPATION</t>
  </si>
  <si>
    <t>DEBT SERVICE - ISSUANCE COSTS</t>
  </si>
  <si>
    <t>DEBT SERVICE - SCHOOL MODERNIZATION FUND</t>
  </si>
  <si>
    <t>DEBT SERVICE - REPAYMENT OF REVENUE BONDS</t>
  </si>
  <si>
    <t>SETTLEMENTS &amp; JUDGMENTS</t>
  </si>
  <si>
    <t>JOHN A. WILSON BUILDING FUND</t>
  </si>
  <si>
    <t>WORKFORCE INVESTMENTS</t>
  </si>
  <si>
    <t>NON-DEPARTMENTAL</t>
  </si>
  <si>
    <t>EMERGENCY PLANNING &amp; SECURITY FUND</t>
  </si>
  <si>
    <t>CASH RESERVE</t>
  </si>
  <si>
    <t>MASTER EQUIPMENT LEASE/PURCHASE PROGRAM</t>
  </si>
  <si>
    <t>PAY-AS-YOU-GO CAPITAL FUND</t>
  </si>
  <si>
    <t>DISTRICT RETIREE HEALTH CONTRIBUTION</t>
  </si>
  <si>
    <t>BASEBALL TRANSFER - DEDICATED TAXES</t>
  </si>
  <si>
    <t>HIGHWAY TRUST FUND TRANSFER - DED TAXES</t>
  </si>
  <si>
    <t>CONVENTION CENTER TRANSFER - DED TAXES</t>
  </si>
  <si>
    <t>TIF &amp; PILOT TRANSFER - DED TAXES</t>
  </si>
  <si>
    <t>DEPARTMENT OF HUMAN SERVICES</t>
  </si>
  <si>
    <t>CHILD &amp; FAMILY SERVICES AGENCY</t>
  </si>
  <si>
    <t>DEPARTMENT OF MENTAL HEALTH</t>
  </si>
  <si>
    <t>DEPARTMENT OF HEALTH</t>
  </si>
  <si>
    <t>DEPARTMENT OF PARKS &amp; RECREATION</t>
  </si>
  <si>
    <t>D.C. OFFICE ON AGING</t>
  </si>
  <si>
    <t>UNEMPLOYMENT COMPENSATION FUND</t>
  </si>
  <si>
    <t>DISABILITY COMPENSATION FUND</t>
  </si>
  <si>
    <t>OFFICE OF HUMAN RIGHTS</t>
  </si>
  <si>
    <t>OFFICE ON LATINO AFFAIRS</t>
  </si>
  <si>
    <t>CHILDREN &amp; YOUTH INVESTMENT COLLABORATIVE</t>
  </si>
  <si>
    <t>OFFICE OF ASIAN &amp; PACIFIC ISLANDER AFFAIRS</t>
  </si>
  <si>
    <t>OFFICE OF VETERANS' AFFAIRS</t>
  </si>
  <si>
    <t>DEPT. OF YOUTH REHABILITATION SERVICES</t>
  </si>
  <si>
    <t>DEPARTMENT OF DISABILITY SERVICES</t>
  </si>
  <si>
    <t>DEPARTMENT OF HEALTH CARE FINANCE</t>
  </si>
  <si>
    <t>D.C. PUBLIC SCHOOLS</t>
  </si>
  <si>
    <t>TEACHERS' RETIREMENT SYSTEM</t>
  </si>
  <si>
    <t>STATE SUPERINTENDENT OF EDUCATION</t>
  </si>
  <si>
    <t>D.C. PUBLIC CHARTER SCHOOLS</t>
  </si>
  <si>
    <t>UNIV. OF THE DISTRICT OF COLUMBIA SUBSIDY</t>
  </si>
  <si>
    <t>D.C. PUBLIC LIBRARY</t>
  </si>
  <si>
    <t>D.C. PUBLIC CHARTER SCHOOL BOARD</t>
  </si>
  <si>
    <t>OFFICE OF THE DEPT. MAYOR FOR EDUCATION</t>
  </si>
  <si>
    <t>PUBLIC EDUCATION FACILITIES MODERNIZATION</t>
  </si>
  <si>
    <t>NON-PUBLIC TUITION</t>
  </si>
  <si>
    <t>SPECIAL EDUCATION TRANSPORTATION</t>
  </si>
  <si>
    <t>council final Gen Fund</t>
  </si>
  <si>
    <t>council final vs mayor's original, unadjusted</t>
  </si>
  <si>
    <t>Change from 2010, w/DCFPI adjustments</t>
  </si>
  <si>
    <t>FY 2011, Council, w/DCFPI adjustments</t>
  </si>
  <si>
    <t>fy 2011, Council, w/DCFPI adjustments VS&gt; 2010</t>
  </si>
  <si>
    <t>FINAL</t>
  </si>
  <si>
    <t>adjust for final budge:2800</t>
  </si>
  <si>
    <t>FY11 spending cuts - Oct 5 2010 exec order</t>
  </si>
  <si>
    <t>percent cut</t>
  </si>
  <si>
    <t>Nov Gap Closing Plan</t>
  </si>
  <si>
    <t>Revenue</t>
  </si>
  <si>
    <t>Other</t>
  </si>
  <si>
    <t>FY 2011 Amended (FINAL)</t>
  </si>
  <si>
    <t>Municipal Facilities: Non-Capital</t>
  </si>
  <si>
    <t>Office of Open Government^</t>
  </si>
  <si>
    <t>^ This agency first appeared in FY 2011 amended</t>
  </si>
  <si>
    <t>Deputy Mayor for Public Safety and Justice</t>
  </si>
  <si>
    <t>Emergency and Contingency Reserve Funds*</t>
  </si>
  <si>
    <t>* New in FY 2011 amended</t>
  </si>
  <si>
    <t>Diff between FY 2011 and FY 2011 amended</t>
  </si>
  <si>
    <t>FY 2000</t>
  </si>
  <si>
    <t>FY 2003</t>
  </si>
  <si>
    <t>FY 2002</t>
  </si>
  <si>
    <t>FY 2001</t>
  </si>
  <si>
    <t>Office of Personnel</t>
  </si>
  <si>
    <t>DC Emergency Management Agency</t>
  </si>
  <si>
    <t>Commission on the Arts and Humanities</t>
  </si>
  <si>
    <t xml:space="preserve">Actual </t>
  </si>
  <si>
    <t xml:space="preserve">                    Change FY '01 - '02</t>
  </si>
  <si>
    <t xml:space="preserve">                          Change FY '02-03</t>
  </si>
  <si>
    <t xml:space="preserve">                          Change FY '00-01</t>
  </si>
  <si>
    <t>FY 2011 Amended General Fund (final) w/DCFPI adjustments</t>
  </si>
  <si>
    <t>Fiscal Year 2012 Budget</t>
  </si>
  <si>
    <t>Change FY '02 - '03</t>
  </si>
  <si>
    <t>Change FY '01-'02</t>
  </si>
  <si>
    <t>Change FY '00-'01</t>
  </si>
  <si>
    <t xml:space="preserve">Change FY '08 - '09 </t>
  </si>
  <si>
    <t xml:space="preserve">FY2010 </t>
  </si>
  <si>
    <t>FY2010 Actual</t>
  </si>
  <si>
    <t>FY 2011 Approved</t>
  </si>
  <si>
    <t>FY 2012</t>
  </si>
  <si>
    <t>Proposed</t>
  </si>
  <si>
    <t>Change FY '09 - '10</t>
  </si>
  <si>
    <t xml:space="preserve">Change FY '10 - '11A 
</t>
  </si>
  <si>
    <t>Change FY '11A- '12P</t>
  </si>
  <si>
    <t xml:space="preserve">Change FY '08- '09 </t>
  </si>
  <si>
    <t xml:space="preserve">FY 2011 </t>
  </si>
  <si>
    <t>Approved</t>
  </si>
  <si>
    <t>Change FY '10- '11A</t>
  </si>
  <si>
    <t>Change FY '10R-'11A</t>
  </si>
  <si>
    <t>Change FY '11A-'12</t>
  </si>
  <si>
    <t>* Figures have been adjusted for inflation.</t>
  </si>
  <si>
    <t>Deputy Mayor for Health and Human Services*</t>
  </si>
  <si>
    <r>
      <t xml:space="preserve">* </t>
    </r>
    <r>
      <rPr>
        <i/>
        <sz val="10"/>
        <rFont val="Arial"/>
        <family val="2"/>
      </rPr>
      <t>New Agency in FY 2012</t>
    </r>
  </si>
  <si>
    <r>
      <t xml:space="preserve">* </t>
    </r>
    <r>
      <rPr>
        <i/>
        <sz val="10"/>
        <rFont val="Arial"/>
        <family val="2"/>
      </rPr>
      <t>This agency first appears in FY 2012</t>
    </r>
  </si>
  <si>
    <t>** Prior to FY2004 this was the Budget Reserve</t>
  </si>
  <si>
    <t>Cash Reserve**</t>
  </si>
  <si>
    <t>Proposed &amp; With Fixed Costs Added Back In</t>
  </si>
  <si>
    <t>Total Fixed Costs Moved</t>
  </si>
  <si>
    <t>Change FY 10'-FY'11A (with Fixed Cost Adjustments)</t>
  </si>
  <si>
    <t xml:space="preserve"> %</t>
  </si>
  <si>
    <t>Change FY '11A (+fixed costs) -'12 (+fixed costs)</t>
  </si>
  <si>
    <t>OCP</t>
  </si>
  <si>
    <t>HR Costs</t>
  </si>
  <si>
    <t>OCTO Shifts</t>
  </si>
  <si>
    <t>Corrections Information Council^</t>
  </si>
  <si>
    <t>Deputy Mayor for Public Safety and Justice^^</t>
  </si>
  <si>
    <t xml:space="preserve">^Deputy Mayor for Public Safety and Justice iwas created in FY 2011, in FY 2012 absorbed the following agencies: Access to Justice and Poverty Loan Program (from Gov. Ops), Office of Victim Services, Office of the Justice Grants Administration, Corrections Information Council, Motor Vehicle Commission </t>
  </si>
  <si>
    <t>Office of General Services****</t>
  </si>
  <si>
    <t>****Created in FY12, formerly Office of Property Management</t>
  </si>
  <si>
    <t>Office of General Services</t>
  </si>
  <si>
    <t>Access to Justice</t>
  </si>
  <si>
    <t>Revised</t>
  </si>
  <si>
    <t>Department of Real Estate Services</t>
  </si>
  <si>
    <t>Section 103: Judgments - Human Services</t>
  </si>
  <si>
    <t>Mass Transit Subsidy</t>
  </si>
  <si>
    <t>$ Change</t>
  </si>
  <si>
    <t>% Change</t>
  </si>
  <si>
    <t>FY 2013</t>
  </si>
  <si>
    <t>Fiscal Year 2013 Budget</t>
  </si>
  <si>
    <t>This guide explains the spreadsheets contained in this workbook.  Each spreadsheet tracks only local and special purpose revenue funds in the District's operating budget.  All figures are in thousands, meaning a number that reads $34,098 really means $34,098,000.  For fiscal years 2000 through 2011, numbers are "actual," meaning that the fiscal year is complete and the final figures have been released.  FY 2012 is not complete, so FY 2012 numbers are preliminary.</t>
  </si>
  <si>
    <t>FY2013 by Approp Title</t>
  </si>
  <si>
    <t>Tracks general fund budgets for for fiscal years 2000 through 2013 by Appropriations title without adjusting each years appropriations for inflation.</t>
  </si>
  <si>
    <t>FY2013 by Approp Title-Adj</t>
  </si>
  <si>
    <t>Tracks general fund budgets for for fiscal years 2000 through 2013 by Appropriations title and makes adjustments for inflation so that all figures are in terms of 2013 dollars.</t>
  </si>
  <si>
    <t>FY 2013 by Agency</t>
  </si>
  <si>
    <t>Tracks general fund budgets for for fiscal years 2000 through 2013 for each government agency without adjusting each years appropriations for inflation.</t>
  </si>
  <si>
    <t>FY 2013 by Agency-Adj</t>
  </si>
  <si>
    <t xml:space="preserve">    $</t>
  </si>
  <si>
    <t>Change FY '12 -FY 13</t>
  </si>
  <si>
    <t>Change FY '12A (+fixed costs) -'13 (+fixed costs)</t>
  </si>
  <si>
    <t xml:space="preserve">FY 2013 </t>
  </si>
  <si>
    <t>Change FY '12- '13A</t>
  </si>
  <si>
    <t>FY 2013 Proposed</t>
  </si>
  <si>
    <t>Proposed w/ Fixed Costs</t>
  </si>
  <si>
    <t>Actual + Fixed Costs</t>
  </si>
  <si>
    <t>^^absorbed into Mayor's office 2013</t>
  </si>
  <si>
    <t>Office of the Community Affairs^^</t>
  </si>
  <si>
    <t>Serve DC^^</t>
  </si>
  <si>
    <t>Office of Open Government/DC Board of Ethics and Government Accountability^</t>
  </si>
  <si>
    <r>
      <t>·</t>
    </r>
    <r>
      <rPr>
        <sz val="7"/>
        <rFont val="Times New Roman"/>
        <family val="1"/>
      </rPr>
      <t xml:space="preserve">     </t>
    </r>
    <r>
      <rPr>
        <sz val="11"/>
        <rFont val="Calibri"/>
        <family val="2"/>
      </rPr>
      <t>2576 from MPD</t>
    </r>
  </si>
  <si>
    <r>
      <t>·</t>
    </r>
    <r>
      <rPr>
        <sz val="7"/>
        <rFont val="Times New Roman"/>
        <family val="1"/>
      </rPr>
      <t xml:space="preserve">     </t>
    </r>
    <r>
      <rPr>
        <sz val="11"/>
        <rFont val="Calibri"/>
        <family val="2"/>
      </rPr>
      <t>1582 from forensics lab</t>
    </r>
  </si>
  <si>
    <r>
      <t>·</t>
    </r>
    <r>
      <rPr>
        <sz val="7"/>
        <rFont val="Times New Roman"/>
        <family val="1"/>
      </rPr>
      <t xml:space="preserve">     </t>
    </r>
    <r>
      <rPr>
        <sz val="11"/>
        <rFont val="Calibri"/>
        <family val="2"/>
      </rPr>
      <t>920 from dept of health</t>
    </r>
  </si>
  <si>
    <r>
      <t>·</t>
    </r>
    <r>
      <rPr>
        <sz val="7"/>
        <rFont val="Times New Roman"/>
        <family val="1"/>
      </rPr>
      <t xml:space="preserve">     </t>
    </r>
    <r>
      <rPr>
        <sz val="11"/>
        <rFont val="Calibri"/>
        <family val="2"/>
      </rPr>
      <t>3206 seems new</t>
    </r>
  </si>
  <si>
    <r>
      <t>DEPT OF FORENSIC JUSTICE</t>
    </r>
    <r>
      <rPr>
        <sz val="11"/>
        <rFont val="Calibri"/>
        <family val="2"/>
      </rPr>
      <t xml:space="preserve"> (Public Safety)</t>
    </r>
  </si>
  <si>
    <t xml:space="preserve"> NEW in 2013, created from MPD, DOH, Forensics lab, and $3 million is new money</t>
  </si>
  <si>
    <t>DEPT OF FORENSIC JUSTICE</t>
  </si>
  <si>
    <t>NEW in 2013, created from MPD, DOH, Forensics lab, and $3 million is new money</t>
  </si>
  <si>
    <r>
      <t>·</t>
    </r>
    <r>
      <rPr>
        <sz val="7"/>
        <rFont val="Times New Roman"/>
        <family val="1"/>
      </rPr>
      <t xml:space="preserve">     </t>
    </r>
    <r>
      <rPr>
        <sz val="11"/>
        <rFont val="Calibri"/>
        <family val="2"/>
      </rPr>
      <t>for 2012-2013 and 2008-2013 comparisons for MPD and DOH.  analysts should add back 2,576,000 to MPD and 920,000 to DOH in 2013.  These adjustments ARE NOT in the spreasheet We also could make the adjustments to appropriations titles  totals, with a new line “adjusted for shifts”</t>
    </r>
  </si>
  <si>
    <r>
      <t>·</t>
    </r>
    <r>
      <rPr>
        <sz val="7"/>
        <rFont val="Times New Roman"/>
        <family val="1"/>
      </rPr>
      <t xml:space="preserve">     </t>
    </r>
    <r>
      <rPr>
        <sz val="11"/>
        <rFont val="Calibri"/>
        <family val="2"/>
      </rPr>
      <t>For 2012-2013 and 2008-2013 comparisons: a line has been added under the Approps titles for Pub Safety and Human Sevices to reflect this:  920,000 added to HS and subtracted from PSJ</t>
    </r>
  </si>
  <si>
    <t>Adjusted for 2012-2013 comparisons (see Fy2013 notes tab)</t>
  </si>
  <si>
    <t>Adjusted for 2008-2013 comparisons (see Fy2013 notes tab)</t>
  </si>
  <si>
    <t>This is reflected in Dep Mayor for Pub Safety and Justice in 2012 and 2013, but had been its own line under Gov Direction in 2011 and before</t>
  </si>
  <si>
    <t>OPEFM</t>
  </si>
  <si>
    <t>taken the DGS lines that refer to Pub Education starting in 2012 and kept it in OPEFM</t>
  </si>
  <si>
    <t>How this is treated in spreadsheet</t>
  </si>
  <si>
    <t>This was its own line, under Educ, through 2011.  It was moved to DGS in 2012</t>
  </si>
  <si>
    <t>How this is treated in our spreadsheet</t>
  </si>
  <si>
    <t>For 2012 and 2013, the DGS amounts listed for Public Ed are deducted from DGS (in govt direction) and moved to the OPEFM line in Educatin</t>
  </si>
  <si>
    <t>PARKS AND REC</t>
  </si>
  <si>
    <t>The facilities (non-capital) portion of the DPR budget was n the DPR budget  in 2011 but was moved to being part of DGS in 2012.  We have</t>
  </si>
  <si>
    <t>taken the DGS lines that refer to DPR starting in 2012 and added it back  to  the DPR budget</t>
  </si>
  <si>
    <t>This was its own line in Educ in 2011 but was moved to being part of DGS in 2012.  because this is so associated with education, we have</t>
  </si>
  <si>
    <t>PARKS AND RECREATION</t>
  </si>
  <si>
    <t xml:space="preserve">The facilities (non-capital) portion of the DPR budget was n the DPR budget  in 2011 but was moved to being part of DGS in 2012.  </t>
  </si>
  <si>
    <t>We have taken the DGS lines that refer to DPR starting in 2012 and added it back  to  the DPR budget</t>
  </si>
  <si>
    <t>Department of Forensic Sciences</t>
  </si>
  <si>
    <t>DDOT</t>
  </si>
  <si>
    <t>$50.6 million was trasferred from DDOT to WMATA for certain services.  In prior years had been done via intra-district.  Kept $50.6 in DDOT, removed from WMATA.</t>
  </si>
  <si>
    <t>DMV</t>
  </si>
  <si>
    <t>$2.2 million was shifted to Office of Finance and Treasury for collections.  Added back in in FY 2013, removed from OCFO</t>
  </si>
  <si>
    <t>$1.36 million was shifted to OFRM for telecom services.  Kept in DDOT, removed from OFRM</t>
  </si>
  <si>
    <t>Baseball Dedicated Tax Transfer***</t>
  </si>
  <si>
    <t>***Prior to FY2013 this was in Finance; starting FY13 in Enterprise</t>
  </si>
  <si>
    <t>TIF and PILOT Transfer - Dedicated Taxes****</t>
  </si>
  <si>
    <t>****In FY13 budget, this was moved to enterprise chapter as special revenue fund.</t>
  </si>
  <si>
    <t>Change FYA12-FY13P</t>
  </si>
  <si>
    <t>FY2013 Notes</t>
  </si>
  <si>
    <t>Explains additions or changes from FY 2012 budget</t>
  </si>
  <si>
    <t>Budget Shifts</t>
  </si>
  <si>
    <t>Explains notes on why certain money shifted from one agency to another</t>
  </si>
  <si>
    <t>FINANCE</t>
  </si>
  <si>
    <t>TIF AND PILOT, baseball transfer and highway trust fund moved back from enterprise to make comparisons to prior years.</t>
  </si>
  <si>
    <t>FY 2013 APPROVED</t>
  </si>
  <si>
    <t xml:space="preserve">Change FY '12 - '13A </t>
  </si>
</sst>
</file>

<file path=xl/styles.xml><?xml version="1.0" encoding="utf-8"?>
<styleSheet xmlns="http://schemas.openxmlformats.org/spreadsheetml/2006/main">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
    <numFmt numFmtId="166" formatCode="&quot;$&quot;#,##0;[Red]&quot;$&quot;#,##0"/>
    <numFmt numFmtId="167" formatCode="#,##0.0"/>
    <numFmt numFmtId="168" formatCode="&quot;$&quot;#,##0.0000"/>
    <numFmt numFmtId="169" formatCode="0.000%"/>
    <numFmt numFmtId="170" formatCode="0.0"/>
    <numFmt numFmtId="171" formatCode="&quot;$&quot;#,##0.000"/>
    <numFmt numFmtId="172" formatCode="_(&quot;$&quot;* #,##0_);_(&quot;$&quot;* \(#,##0\);_(&quot;$&quot;* &quot;-&quot;??_);_(@_)"/>
  </numFmts>
  <fonts count="33">
    <font>
      <sz val="10"/>
      <name val="Arial"/>
    </font>
    <font>
      <sz val="10"/>
      <color theme="1"/>
      <name val="Arial"/>
      <family val="2"/>
    </font>
    <font>
      <sz val="10"/>
      <name val="Arial"/>
      <family val="2"/>
    </font>
    <font>
      <b/>
      <sz val="14"/>
      <name val="Arial"/>
      <family val="2"/>
    </font>
    <font>
      <sz val="14"/>
      <name val="Arial"/>
      <family val="2"/>
    </font>
    <font>
      <sz val="12"/>
      <name val="Arial"/>
      <family val="2"/>
    </font>
    <font>
      <b/>
      <sz val="18"/>
      <name val="Arial"/>
      <family val="2"/>
    </font>
    <font>
      <sz val="10"/>
      <name val="Arial"/>
      <family val="2"/>
    </font>
    <font>
      <sz val="8"/>
      <name val="Arial"/>
      <family val="2"/>
    </font>
    <font>
      <b/>
      <sz val="10"/>
      <name val="Arial"/>
      <family val="2"/>
    </font>
    <font>
      <i/>
      <sz val="10"/>
      <name val="Arial"/>
      <family val="2"/>
    </font>
    <font>
      <sz val="10"/>
      <color rgb="FFFF0000"/>
      <name val="Arial"/>
      <family val="2"/>
    </font>
    <font>
      <b/>
      <sz val="10"/>
      <color rgb="FFFF0000"/>
      <name val="Arial"/>
      <family val="2"/>
    </font>
    <font>
      <sz val="10"/>
      <color rgb="FF7030A0"/>
      <name val="Arial"/>
      <family val="2"/>
    </font>
    <font>
      <b/>
      <sz val="10"/>
      <color theme="1"/>
      <name val="Arial"/>
      <family val="2"/>
    </font>
    <font>
      <b/>
      <sz val="10"/>
      <name val="Arial"/>
      <family val="2"/>
    </font>
    <font>
      <b/>
      <sz val="10"/>
      <name val="Arial"/>
      <family val="2"/>
    </font>
    <font>
      <i/>
      <sz val="10"/>
      <name val="Arial"/>
      <family val="2"/>
    </font>
    <font>
      <sz val="10"/>
      <name val="Arial"/>
      <family val="2"/>
    </font>
    <font>
      <sz val="10"/>
      <name val="Arial Narrow"/>
      <family val="2"/>
    </font>
    <font>
      <sz val="9.5"/>
      <name val="Arial Narrow"/>
      <family val="2"/>
    </font>
    <font>
      <sz val="10"/>
      <name val="Times New Roman"/>
      <family val="1"/>
    </font>
    <font>
      <sz val="8"/>
      <color indexed="81"/>
      <name val="Tahoma"/>
      <family val="2"/>
    </font>
    <font>
      <b/>
      <sz val="8"/>
      <color indexed="81"/>
      <name val="Tahoma"/>
      <family val="2"/>
    </font>
    <font>
      <sz val="10"/>
      <color indexed="8"/>
      <name val="Arial"/>
      <family val="2"/>
    </font>
    <font>
      <sz val="11"/>
      <name val="Calibri"/>
      <family val="2"/>
    </font>
    <font>
      <b/>
      <sz val="11"/>
      <name val="Calibri"/>
      <family val="2"/>
    </font>
    <font>
      <sz val="8"/>
      <name val="Symbol"/>
      <family val="1"/>
      <charset val="2"/>
    </font>
    <font>
      <sz val="7"/>
      <name val="Times New Roman"/>
      <family val="1"/>
    </font>
    <font>
      <sz val="9"/>
      <color indexed="81"/>
      <name val="Tahoma"/>
      <family val="2"/>
    </font>
    <font>
      <b/>
      <sz val="9"/>
      <color indexed="81"/>
      <name val="Tahoma"/>
      <family val="2"/>
    </font>
    <font>
      <b/>
      <sz val="9"/>
      <color indexed="81"/>
      <name val="Tahoma"/>
      <charset val="1"/>
    </font>
    <font>
      <sz val="9"/>
      <color indexed="81"/>
      <name val="Tahoma"/>
      <charset val="1"/>
    </font>
  </fonts>
  <fills count="13">
    <fill>
      <patternFill patternType="none"/>
    </fill>
    <fill>
      <patternFill patternType="gray125"/>
    </fill>
    <fill>
      <patternFill patternType="solid">
        <fgColor indexed="49"/>
        <bgColor indexed="64"/>
      </patternFill>
    </fill>
    <fill>
      <patternFill patternType="solid">
        <fgColor indexed="41"/>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CB8"/>
        <bgColor indexed="64"/>
      </patternFill>
    </fill>
    <fill>
      <patternFill patternType="solid">
        <fgColor theme="8" tint="-0.2499465926084170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rgb="FF009999"/>
        <bgColor indexed="64"/>
      </patternFill>
    </fill>
    <fill>
      <patternFill patternType="solid">
        <fgColor theme="0"/>
        <bgColor indexed="64"/>
      </patternFill>
    </fill>
    <fill>
      <patternFill patternType="solid">
        <fgColor theme="0" tint="-0.24994659260841701"/>
        <bgColor indexed="64"/>
      </patternFill>
    </fill>
  </fills>
  <borders count="27">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auto="1"/>
      </right>
      <top style="thin">
        <color auto="1"/>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8" fillId="0" borderId="0"/>
    <xf numFmtId="0" fontId="21" fillId="0" borderId="0"/>
  </cellStyleXfs>
  <cellXfs count="758">
    <xf numFmtId="0" fontId="0" fillId="0" borderId="0" xfId="0"/>
    <xf numFmtId="0" fontId="5" fillId="0" borderId="0" xfId="0" applyFont="1"/>
    <xf numFmtId="0" fontId="6" fillId="0" borderId="0" xfId="0" applyFont="1"/>
    <xf numFmtId="0" fontId="4" fillId="0" borderId="0" xfId="0" applyFont="1" applyFill="1" applyBorder="1"/>
    <xf numFmtId="0" fontId="0" fillId="0" borderId="3" xfId="0" applyBorder="1"/>
    <xf numFmtId="0" fontId="0" fillId="0" borderId="0" xfId="0" applyFill="1"/>
    <xf numFmtId="0" fontId="0" fillId="0" borderId="0" xfId="0" applyBorder="1"/>
    <xf numFmtId="0" fontId="0" fillId="0" borderId="0" xfId="0" applyFill="1" applyBorder="1"/>
    <xf numFmtId="0" fontId="4" fillId="0" borderId="4" xfId="0" applyFont="1" applyFill="1" applyBorder="1"/>
    <xf numFmtId="0" fontId="4" fillId="0" borderId="5" xfId="0" applyFont="1" applyFill="1" applyBorder="1"/>
    <xf numFmtId="6" fontId="0" fillId="0" borderId="0" xfId="0" applyNumberFormat="1"/>
    <xf numFmtId="6" fontId="0" fillId="0" borderId="0" xfId="0" applyNumberFormat="1" applyFill="1" applyBorder="1"/>
    <xf numFmtId="6" fontId="9" fillId="0" borderId="0" xfId="0" applyNumberFormat="1" applyFont="1"/>
    <xf numFmtId="0" fontId="9" fillId="0" borderId="0" xfId="0" applyFont="1"/>
    <xf numFmtId="10" fontId="0" fillId="0" borderId="0" xfId="0" applyNumberFormat="1"/>
    <xf numFmtId="10" fontId="9" fillId="0" borderId="0" xfId="0" applyNumberFormat="1" applyFont="1"/>
    <xf numFmtId="10" fontId="0" fillId="0" borderId="3" xfId="0" applyNumberFormat="1" applyBorder="1"/>
    <xf numFmtId="10" fontId="0" fillId="0" borderId="0" xfId="0" applyNumberFormat="1" applyBorder="1"/>
    <xf numFmtId="6" fontId="0" fillId="0" borderId="5" xfId="0" applyNumberFormat="1" applyFill="1" applyBorder="1"/>
    <xf numFmtId="6" fontId="0" fillId="0" borderId="4" xfId="0" applyNumberFormat="1" applyFill="1" applyBorder="1"/>
    <xf numFmtId="0" fontId="9" fillId="0" borderId="0" xfId="0" applyFont="1" applyFill="1"/>
    <xf numFmtId="166" fontId="3" fillId="3" borderId="6" xfId="0" applyNumberFormat="1" applyFont="1" applyFill="1" applyBorder="1" applyAlignment="1">
      <alignment horizontal="center"/>
    </xf>
    <xf numFmtId="6" fontId="0" fillId="0" borderId="9" xfId="0" applyNumberFormat="1" applyFill="1" applyBorder="1"/>
    <xf numFmtId="0" fontId="5" fillId="0" borderId="0" xfId="0" applyFont="1" applyFill="1" applyBorder="1"/>
    <xf numFmtId="6" fontId="7" fillId="0" borderId="0" xfId="0" applyNumberFormat="1" applyFont="1" applyFill="1" applyBorder="1" applyAlignment="1">
      <alignment horizontal="right"/>
    </xf>
    <xf numFmtId="6" fontId="9" fillId="0" borderId="0" xfId="0" applyNumberFormat="1" applyFont="1" applyFill="1" applyBorder="1" applyAlignment="1">
      <alignment horizontal="right"/>
    </xf>
    <xf numFmtId="165" fontId="0" fillId="0" borderId="0" xfId="0" applyNumberFormat="1"/>
    <xf numFmtId="3" fontId="0" fillId="0" borderId="0" xfId="0" applyNumberFormat="1"/>
    <xf numFmtId="3" fontId="9" fillId="0" borderId="0" xfId="0" applyNumberFormat="1" applyFont="1"/>
    <xf numFmtId="3" fontId="0" fillId="0" borderId="0" xfId="0" applyNumberFormat="1" applyFill="1" applyBorder="1"/>
    <xf numFmtId="165" fontId="9" fillId="0" borderId="0" xfId="0" applyNumberFormat="1" applyFont="1"/>
    <xf numFmtId="164" fontId="0" fillId="0" borderId="0" xfId="0" applyNumberFormat="1"/>
    <xf numFmtId="165" fontId="0" fillId="0" borderId="0" xfId="0" applyNumberFormat="1" applyFill="1" applyBorder="1"/>
    <xf numFmtId="165" fontId="9" fillId="0" borderId="0" xfId="0" applyNumberFormat="1" applyFont="1" applyBorder="1"/>
    <xf numFmtId="10" fontId="5" fillId="0" borderId="0" xfId="0" applyNumberFormat="1" applyFont="1"/>
    <xf numFmtId="165" fontId="0" fillId="0" borderId="9" xfId="0" applyNumberFormat="1" applyFill="1" applyBorder="1"/>
    <xf numFmtId="164" fontId="9" fillId="0" borderId="0" xfId="0" applyNumberFormat="1" applyFont="1"/>
    <xf numFmtId="164" fontId="7" fillId="0" borderId="0" xfId="0" applyNumberFormat="1" applyFont="1" applyFill="1" applyBorder="1" applyAlignment="1">
      <alignment horizontal="right"/>
    </xf>
    <xf numFmtId="164" fontId="9" fillId="0" borderId="0" xfId="0" applyNumberFormat="1" applyFont="1" applyFill="1" applyBorder="1" applyAlignment="1">
      <alignment horizontal="right"/>
    </xf>
    <xf numFmtId="165" fontId="7" fillId="0" borderId="0" xfId="0" applyNumberFormat="1" applyFont="1"/>
    <xf numFmtId="165" fontId="7" fillId="0" borderId="0" xfId="0" applyNumberFormat="1" applyFont="1" applyBorder="1"/>
    <xf numFmtId="164" fontId="0" fillId="0" borderId="9" xfId="0" applyNumberFormat="1" applyFill="1" applyBorder="1"/>
    <xf numFmtId="164" fontId="0" fillId="0" borderId="5" xfId="0" applyNumberFormat="1" applyFill="1" applyBorder="1"/>
    <xf numFmtId="3" fontId="0" fillId="0" borderId="9" xfId="0" applyNumberFormat="1" applyFill="1" applyBorder="1"/>
    <xf numFmtId="3" fontId="0" fillId="0" borderId="4" xfId="0" applyNumberFormat="1" applyFill="1" applyBorder="1"/>
    <xf numFmtId="164" fontId="9" fillId="0" borderId="0" xfId="0" applyNumberFormat="1" applyFont="1" applyBorder="1"/>
    <xf numFmtId="6" fontId="9" fillId="0" borderId="0" xfId="0" applyNumberFormat="1" applyFont="1" applyBorder="1"/>
    <xf numFmtId="6" fontId="9" fillId="0" borderId="0" xfId="0" applyNumberFormat="1" applyFont="1" applyBorder="1" applyAlignment="1">
      <alignment horizontal="right"/>
    </xf>
    <xf numFmtId="164" fontId="9" fillId="0" borderId="0" xfId="0" applyNumberFormat="1" applyFont="1" applyAlignment="1">
      <alignment horizontal="right"/>
    </xf>
    <xf numFmtId="0" fontId="3" fillId="0" borderId="0" xfId="0" applyFont="1" applyFill="1" applyBorder="1"/>
    <xf numFmtId="0" fontId="7" fillId="0" borderId="0" xfId="0" applyFont="1"/>
    <xf numFmtId="10" fontId="7" fillId="0" borderId="0" xfId="0" applyNumberFormat="1" applyFont="1"/>
    <xf numFmtId="6" fontId="7" fillId="0" borderId="0" xfId="0" applyNumberFormat="1" applyFont="1"/>
    <xf numFmtId="0" fontId="7" fillId="0" borderId="0" xfId="0" applyFont="1" applyFill="1" applyBorder="1"/>
    <xf numFmtId="0" fontId="7" fillId="0" borderId="3" xfId="0" applyFont="1" applyBorder="1"/>
    <xf numFmtId="10" fontId="7" fillId="0" borderId="3" xfId="0" applyNumberFormat="1" applyFont="1" applyBorder="1"/>
    <xf numFmtId="6" fontId="9" fillId="3" borderId="4" xfId="0" applyNumberFormat="1" applyFont="1" applyFill="1" applyBorder="1" applyAlignment="1">
      <alignment horizontal="center"/>
    </xf>
    <xf numFmtId="0" fontId="7" fillId="0" borderId="1" xfId="0" applyFont="1" applyBorder="1"/>
    <xf numFmtId="164" fontId="7" fillId="0" borderId="0" xfId="0" applyNumberFormat="1" applyFont="1"/>
    <xf numFmtId="0" fontId="7" fillId="0" borderId="1" xfId="0" applyFont="1" applyFill="1" applyBorder="1"/>
    <xf numFmtId="164" fontId="7" fillId="0" borderId="0" xfId="0" applyNumberFormat="1" applyFont="1" applyAlignment="1">
      <alignment horizontal="right"/>
    </xf>
    <xf numFmtId="164" fontId="7" fillId="0" borderId="0" xfId="0" applyNumberFormat="1" applyFont="1" applyAlignment="1">
      <alignment horizontal="center"/>
    </xf>
    <xf numFmtId="6" fontId="7" fillId="0" borderId="0" xfId="0" applyNumberFormat="1" applyFont="1" applyFill="1"/>
    <xf numFmtId="0" fontId="7" fillId="0" borderId="0" xfId="0" applyFont="1" applyBorder="1"/>
    <xf numFmtId="0" fontId="9" fillId="0" borderId="0" xfId="0" applyFont="1" applyBorder="1"/>
    <xf numFmtId="3" fontId="7" fillId="0" borderId="0" xfId="0" applyNumberFormat="1" applyFont="1"/>
    <xf numFmtId="6" fontId="7" fillId="0" borderId="0" xfId="0" applyNumberFormat="1" applyFont="1" applyAlignment="1">
      <alignment horizontal="right"/>
    </xf>
    <xf numFmtId="165" fontId="7" fillId="0" borderId="0" xfId="0" applyNumberFormat="1" applyFont="1" applyAlignment="1">
      <alignment horizontal="right"/>
    </xf>
    <xf numFmtId="166" fontId="7" fillId="0" borderId="0" xfId="0" applyNumberFormat="1" applyFont="1"/>
    <xf numFmtId="6" fontId="7" fillId="0" borderId="0" xfId="0" applyNumberFormat="1" applyFont="1" applyBorder="1"/>
    <xf numFmtId="164" fontId="7" fillId="0" borderId="0" xfId="0" applyNumberFormat="1" applyFont="1" applyBorder="1" applyAlignment="1">
      <alignment horizontal="right"/>
    </xf>
    <xf numFmtId="166" fontId="7" fillId="0" borderId="0" xfId="0" applyNumberFormat="1" applyFont="1" applyBorder="1"/>
    <xf numFmtId="164" fontId="7" fillId="0" borderId="0" xfId="0" applyNumberFormat="1" applyFont="1" applyBorder="1"/>
    <xf numFmtId="0" fontId="10" fillId="0" borderId="0" xfId="0" applyFont="1" applyBorder="1"/>
    <xf numFmtId="6" fontId="7" fillId="0" borderId="3" xfId="0" applyNumberFormat="1" applyFont="1" applyBorder="1" applyAlignment="1">
      <alignment horizontal="right"/>
    </xf>
    <xf numFmtId="6" fontId="7" fillId="0" borderId="3" xfId="0" applyNumberFormat="1" applyFont="1" applyBorder="1"/>
    <xf numFmtId="164" fontId="7" fillId="0" borderId="3" xfId="0" applyNumberFormat="1" applyFont="1" applyBorder="1" applyAlignment="1">
      <alignment horizontal="right"/>
    </xf>
    <xf numFmtId="164" fontId="7" fillId="0" borderId="3" xfId="0" applyNumberFormat="1" applyFont="1" applyBorder="1"/>
    <xf numFmtId="3" fontId="7" fillId="0" borderId="0" xfId="0" applyNumberFormat="1" applyFont="1" applyFill="1"/>
    <xf numFmtId="0" fontId="7" fillId="0" borderId="0" xfId="0" applyFont="1" applyFill="1"/>
    <xf numFmtId="3" fontId="7" fillId="0" borderId="0" xfId="0" applyNumberFormat="1" applyFont="1" applyBorder="1"/>
    <xf numFmtId="6" fontId="7" fillId="0" borderId="0" xfId="0" applyNumberFormat="1" applyFont="1" applyBorder="1" applyAlignment="1">
      <alignment horizontal="right"/>
    </xf>
    <xf numFmtId="0" fontId="7" fillId="0" borderId="2" xfId="0" applyFont="1" applyBorder="1"/>
    <xf numFmtId="0" fontId="10" fillId="0" borderId="0" xfId="0" applyFont="1"/>
    <xf numFmtId="3" fontId="7" fillId="0" borderId="0" xfId="0" applyNumberFormat="1" applyFont="1" applyAlignment="1">
      <alignment wrapText="1"/>
    </xf>
    <xf numFmtId="0" fontId="9" fillId="0" borderId="0" xfId="0" applyFont="1" applyFill="1" applyBorder="1"/>
    <xf numFmtId="3" fontId="11" fillId="0" borderId="0" xfId="0" applyNumberFormat="1" applyFont="1" applyAlignment="1">
      <alignment wrapText="1"/>
    </xf>
    <xf numFmtId="0" fontId="11" fillId="0" borderId="0" xfId="0" applyFont="1" applyFill="1" applyBorder="1"/>
    <xf numFmtId="0" fontId="11" fillId="0" borderId="0" xfId="0" applyFont="1" applyBorder="1"/>
    <xf numFmtId="3" fontId="11" fillId="0" borderId="0" xfId="0" applyNumberFormat="1" applyFont="1" applyBorder="1"/>
    <xf numFmtId="3" fontId="9" fillId="0" borderId="0" xfId="0" applyNumberFormat="1" applyFont="1" applyBorder="1"/>
    <xf numFmtId="3" fontId="12" fillId="0" borderId="0" xfId="0" applyNumberFormat="1" applyFont="1"/>
    <xf numFmtId="167" fontId="7" fillId="0" borderId="0" xfId="0" applyNumberFormat="1" applyFont="1"/>
    <xf numFmtId="167" fontId="9" fillId="0" borderId="0" xfId="0" applyNumberFormat="1" applyFont="1"/>
    <xf numFmtId="3" fontId="7" fillId="0" borderId="3" xfId="0" applyNumberFormat="1" applyFont="1" applyBorder="1"/>
    <xf numFmtId="9" fontId="7" fillId="0" borderId="0" xfId="1" applyNumberFormat="1" applyFont="1" applyFill="1"/>
    <xf numFmtId="9" fontId="7" fillId="0" borderId="0" xfId="1" applyNumberFormat="1" applyFont="1" applyFill="1" applyBorder="1"/>
    <xf numFmtId="9" fontId="9" fillId="0" borderId="0" xfId="0" applyNumberFormat="1" applyFont="1"/>
    <xf numFmtId="9" fontId="9" fillId="0" borderId="0" xfId="1" applyNumberFormat="1" applyFont="1" applyFill="1"/>
    <xf numFmtId="9" fontId="7" fillId="0" borderId="0" xfId="0" applyNumberFormat="1" applyFont="1"/>
    <xf numFmtId="9" fontId="0" fillId="0" borderId="0" xfId="0" applyNumberFormat="1"/>
    <xf numFmtId="9" fontId="7" fillId="0" borderId="0" xfId="0" applyNumberFormat="1" applyFont="1" applyBorder="1"/>
    <xf numFmtId="165" fontId="7" fillId="0" borderId="3" xfId="0" applyNumberFormat="1" applyFont="1" applyBorder="1"/>
    <xf numFmtId="0" fontId="7" fillId="0" borderId="0" xfId="0" applyFont="1" applyFill="1" applyBorder="1" applyAlignment="1">
      <alignment horizontal="left"/>
    </xf>
    <xf numFmtId="0" fontId="9" fillId="5" borderId="1" xfId="0" applyFont="1" applyFill="1" applyBorder="1"/>
    <xf numFmtId="0" fontId="9" fillId="5" borderId="0" xfId="0" applyFont="1" applyFill="1" applyBorder="1" applyAlignment="1">
      <alignment horizontal="center"/>
    </xf>
    <xf numFmtId="10" fontId="9" fillId="5" borderId="0" xfId="0" applyNumberFormat="1" applyFont="1" applyFill="1" applyBorder="1" applyAlignment="1">
      <alignment horizontal="center"/>
    </xf>
    <xf numFmtId="6" fontId="7" fillId="5" borderId="0" xfId="0" applyNumberFormat="1" applyFont="1" applyFill="1"/>
    <xf numFmtId="10" fontId="7" fillId="5" borderId="0" xfId="0" applyNumberFormat="1" applyFont="1" applyFill="1"/>
    <xf numFmtId="0" fontId="7" fillId="5" borderId="0" xfId="0" applyFont="1" applyFill="1"/>
    <xf numFmtId="3" fontId="7" fillId="5" borderId="0" xfId="0" applyNumberFormat="1" applyFont="1" applyFill="1"/>
    <xf numFmtId="9" fontId="7" fillId="5" borderId="0" xfId="1" applyNumberFormat="1" applyFont="1" applyFill="1"/>
    <xf numFmtId="0" fontId="9" fillId="5" borderId="0" xfId="0" applyFont="1" applyFill="1" applyAlignment="1">
      <alignment wrapText="1"/>
    </xf>
    <xf numFmtId="9" fontId="0" fillId="5" borderId="0" xfId="0" applyNumberFormat="1" applyFill="1"/>
    <xf numFmtId="9" fontId="7" fillId="5" borderId="0" xfId="0" applyNumberFormat="1" applyFont="1" applyFill="1"/>
    <xf numFmtId="0" fontId="0" fillId="5" borderId="0" xfId="0" applyFill="1"/>
    <xf numFmtId="0" fontId="9" fillId="5" borderId="0" xfId="0" applyFont="1" applyFill="1" applyBorder="1"/>
    <xf numFmtId="164" fontId="9" fillId="5" borderId="0" xfId="0" applyNumberFormat="1" applyFont="1" applyFill="1" applyBorder="1" applyAlignment="1">
      <alignment horizontal="center"/>
    </xf>
    <xf numFmtId="0" fontId="7" fillId="5" borderId="0" xfId="0" applyFont="1" applyFill="1" applyBorder="1"/>
    <xf numFmtId="164" fontId="7" fillId="5" borderId="0" xfId="0" applyNumberFormat="1" applyFont="1" applyFill="1" applyBorder="1"/>
    <xf numFmtId="3" fontId="7" fillId="5" borderId="0" xfId="0" applyNumberFormat="1" applyFont="1" applyFill="1" applyBorder="1"/>
    <xf numFmtId="165" fontId="7" fillId="5" borderId="0" xfId="0" applyNumberFormat="1" applyFont="1" applyFill="1" applyBorder="1"/>
    <xf numFmtId="9" fontId="7" fillId="5" borderId="0" xfId="1" applyNumberFormat="1" applyFont="1" applyFill="1" applyBorder="1"/>
    <xf numFmtId="3" fontId="7" fillId="5" borderId="0" xfId="0" applyNumberFormat="1" applyFont="1" applyFill="1" applyAlignment="1">
      <alignment wrapText="1"/>
    </xf>
    <xf numFmtId="9" fontId="7" fillId="5" borderId="0" xfId="0" applyNumberFormat="1" applyFont="1" applyFill="1" applyBorder="1"/>
    <xf numFmtId="164" fontId="7" fillId="5" borderId="0" xfId="0" applyNumberFormat="1" applyFont="1" applyFill="1"/>
    <xf numFmtId="9" fontId="7" fillId="0" borderId="3" xfId="1" applyNumberFormat="1" applyFont="1" applyFill="1" applyBorder="1"/>
    <xf numFmtId="3" fontId="7" fillId="0" borderId="3" xfId="0" applyNumberFormat="1" applyFont="1" applyBorder="1" applyAlignment="1">
      <alignment wrapText="1"/>
    </xf>
    <xf numFmtId="9" fontId="0" fillId="0" borderId="3" xfId="0" applyNumberFormat="1" applyBorder="1"/>
    <xf numFmtId="9" fontId="7" fillId="0" borderId="3" xfId="0" applyNumberFormat="1" applyFont="1" applyBorder="1"/>
    <xf numFmtId="0" fontId="7" fillId="0" borderId="3" xfId="0" applyFont="1" applyFill="1" applyBorder="1"/>
    <xf numFmtId="9" fontId="0" fillId="0" borderId="0" xfId="0" applyNumberFormat="1" applyBorder="1"/>
    <xf numFmtId="6" fontId="9" fillId="5" borderId="0" xfId="0" applyNumberFormat="1" applyFont="1" applyFill="1"/>
    <xf numFmtId="164" fontId="9" fillId="5" borderId="0" xfId="0" applyNumberFormat="1" applyFont="1" applyFill="1"/>
    <xf numFmtId="9" fontId="9" fillId="5" borderId="0" xfId="1" applyNumberFormat="1" applyFont="1" applyFill="1"/>
    <xf numFmtId="9" fontId="9" fillId="5" borderId="0" xfId="0" applyNumberFormat="1" applyFont="1" applyFill="1"/>
    <xf numFmtId="6" fontId="9" fillId="0" borderId="0" xfId="0" applyNumberFormat="1" applyFont="1" applyFill="1"/>
    <xf numFmtId="164" fontId="9" fillId="0" borderId="0" xfId="0" applyNumberFormat="1" applyFont="1" applyFill="1"/>
    <xf numFmtId="165" fontId="9" fillId="0" borderId="0" xfId="0" applyNumberFormat="1" applyFont="1" applyFill="1"/>
    <xf numFmtId="3" fontId="9" fillId="0" borderId="0" xfId="0" applyNumberFormat="1" applyFont="1" applyFill="1"/>
    <xf numFmtId="9" fontId="9" fillId="0" borderId="0" xfId="0" applyNumberFormat="1" applyFont="1" applyFill="1"/>
    <xf numFmtId="6" fontId="9" fillId="0" borderId="0" xfId="0" applyNumberFormat="1" applyFont="1" applyFill="1" applyBorder="1"/>
    <xf numFmtId="6" fontId="9" fillId="5" borderId="0" xfId="0" applyNumberFormat="1" applyFont="1" applyFill="1" applyBorder="1"/>
    <xf numFmtId="164" fontId="9" fillId="5" borderId="0" xfId="0" applyNumberFormat="1" applyFont="1" applyFill="1" applyAlignment="1">
      <alignment horizontal="right"/>
    </xf>
    <xf numFmtId="164" fontId="9" fillId="5" borderId="0" xfId="0" applyNumberFormat="1" applyFont="1" applyFill="1" applyBorder="1"/>
    <xf numFmtId="164" fontId="7" fillId="0" borderId="0" xfId="0" applyNumberFormat="1" applyFont="1" applyBorder="1" applyAlignment="1">
      <alignment horizontal="center"/>
    </xf>
    <xf numFmtId="0" fontId="9" fillId="0" borderId="4" xfId="0" applyFont="1" applyFill="1" applyBorder="1"/>
    <xf numFmtId="9" fontId="7" fillId="0" borderId="0" xfId="3" applyFont="1"/>
    <xf numFmtId="9" fontId="9" fillId="0" borderId="0" xfId="3" applyFont="1"/>
    <xf numFmtId="9" fontId="7" fillId="0" borderId="3" xfId="3" applyFont="1" applyBorder="1"/>
    <xf numFmtId="9" fontId="7" fillId="5" borderId="0" xfId="3" applyFont="1" applyFill="1"/>
    <xf numFmtId="9" fontId="9" fillId="5" borderId="0" xfId="3" applyFont="1" applyFill="1"/>
    <xf numFmtId="9" fontId="0" fillId="0" borderId="0" xfId="3" applyFont="1"/>
    <xf numFmtId="0" fontId="7" fillId="0" borderId="10" xfId="0" applyFont="1" applyFill="1" applyBorder="1"/>
    <xf numFmtId="6" fontId="7" fillId="5" borderId="0" xfId="0" applyNumberFormat="1" applyFont="1" applyFill="1" applyBorder="1"/>
    <xf numFmtId="6" fontId="7" fillId="0" borderId="0" xfId="0" applyNumberFormat="1" applyFont="1" applyFill="1" applyBorder="1"/>
    <xf numFmtId="6" fontId="7" fillId="0" borderId="3" xfId="0" applyNumberFormat="1" applyFont="1" applyFill="1" applyBorder="1"/>
    <xf numFmtId="6" fontId="7" fillId="0" borderId="0" xfId="1" applyNumberFormat="1" applyFont="1" applyFill="1"/>
    <xf numFmtId="6" fontId="7" fillId="5" borderId="0" xfId="1" applyNumberFormat="1" applyFont="1" applyFill="1"/>
    <xf numFmtId="6" fontId="9" fillId="5" borderId="0" xfId="0" applyNumberFormat="1" applyFont="1" applyFill="1" applyAlignment="1">
      <alignment wrapText="1"/>
    </xf>
    <xf numFmtId="6" fontId="11" fillId="0" borderId="0" xfId="0" applyNumberFormat="1" applyFont="1" applyBorder="1"/>
    <xf numFmtId="6" fontId="7" fillId="0" borderId="3" xfId="1" applyNumberFormat="1" applyFont="1" applyFill="1" applyBorder="1"/>
    <xf numFmtId="6" fontId="7" fillId="5" borderId="0" xfId="1" applyNumberFormat="1" applyFont="1" applyFill="1" applyBorder="1"/>
    <xf numFmtId="6" fontId="9" fillId="0" borderId="0" xfId="1" applyNumberFormat="1" applyFont="1" applyFill="1"/>
    <xf numFmtId="6" fontId="11" fillId="0" borderId="0" xfId="0" applyNumberFormat="1" applyFont="1"/>
    <xf numFmtId="6" fontId="9" fillId="0" borderId="0" xfId="0" applyNumberFormat="1" applyFont="1" applyAlignment="1">
      <alignment wrapText="1"/>
    </xf>
    <xf numFmtId="6" fontId="7" fillId="0" borderId="0" xfId="1" applyNumberFormat="1" applyFont="1" applyFill="1" applyAlignment="1">
      <alignment horizontal="right"/>
    </xf>
    <xf numFmtId="6" fontId="11" fillId="0" borderId="0" xfId="0" applyNumberFormat="1" applyFont="1" applyFill="1" applyBorder="1"/>
    <xf numFmtId="6" fontId="12" fillId="0" borderId="0" xfId="0" applyNumberFormat="1" applyFont="1"/>
    <xf numFmtId="6" fontId="9" fillId="5" borderId="0" xfId="1" applyNumberFormat="1" applyFont="1" applyFill="1"/>
    <xf numFmtId="6" fontId="7" fillId="5" borderId="0" xfId="0" applyNumberFormat="1" applyFont="1" applyFill="1" applyAlignment="1">
      <alignment wrapText="1"/>
    </xf>
    <xf numFmtId="6" fontId="9" fillId="0" borderId="0" xfId="0" applyNumberFormat="1" applyFont="1" applyFill="1" applyAlignment="1">
      <alignment wrapText="1"/>
    </xf>
    <xf numFmtId="6" fontId="7" fillId="0" borderId="0" xfId="0" applyNumberFormat="1" applyFont="1" applyAlignment="1">
      <alignment wrapText="1"/>
    </xf>
    <xf numFmtId="6" fontId="7" fillId="0" borderId="0" xfId="0" applyNumberFormat="1" applyFont="1" applyBorder="1" applyAlignment="1">
      <alignment wrapText="1"/>
    </xf>
    <xf numFmtId="6" fontId="7" fillId="0" borderId="3" xfId="0" applyNumberFormat="1" applyFont="1" applyBorder="1" applyAlignment="1">
      <alignment wrapText="1"/>
    </xf>
    <xf numFmtId="6" fontId="7" fillId="5" borderId="0" xfId="1" applyNumberFormat="1" applyFont="1" applyFill="1" applyAlignment="1">
      <alignment horizontal="right"/>
    </xf>
    <xf numFmtId="6" fontId="7" fillId="0" borderId="0" xfId="1" applyNumberFormat="1" applyFont="1" applyFill="1" applyBorder="1" applyAlignment="1">
      <alignment horizontal="right"/>
    </xf>
    <xf numFmtId="6" fontId="7" fillId="0" borderId="3" xfId="1" applyNumberFormat="1" applyFont="1" applyFill="1" applyBorder="1" applyAlignment="1">
      <alignment horizontal="right"/>
    </xf>
    <xf numFmtId="6" fontId="9" fillId="0" borderId="0" xfId="0" applyNumberFormat="1" applyFont="1" applyAlignment="1">
      <alignment horizontal="right"/>
    </xf>
    <xf numFmtId="6" fontId="7" fillId="5" borderId="0" xfId="1" applyNumberFormat="1" applyFont="1" applyFill="1" applyBorder="1" applyAlignment="1">
      <alignment horizontal="right"/>
    </xf>
    <xf numFmtId="6" fontId="9" fillId="0" borderId="0" xfId="1" applyNumberFormat="1" applyFont="1" applyFill="1" applyAlignment="1">
      <alignment horizontal="right"/>
    </xf>
    <xf numFmtId="6" fontId="9" fillId="0" borderId="0" xfId="0" applyNumberFormat="1" applyFont="1" applyAlignment="1">
      <alignment horizontal="right" wrapText="1"/>
    </xf>
    <xf numFmtId="6" fontId="9" fillId="0" borderId="0" xfId="0" applyNumberFormat="1" applyFont="1" applyFill="1" applyAlignment="1">
      <alignment horizontal="right"/>
    </xf>
    <xf numFmtId="6" fontId="9" fillId="5" borderId="0" xfId="1" applyNumberFormat="1" applyFont="1" applyFill="1" applyAlignment="1">
      <alignment horizontal="right"/>
    </xf>
    <xf numFmtId="6" fontId="9" fillId="3" borderId="5" xfId="0" applyNumberFormat="1" applyFont="1" applyFill="1" applyBorder="1" applyAlignment="1">
      <alignment horizontal="center"/>
    </xf>
    <xf numFmtId="6" fontId="7" fillId="0" borderId="0" xfId="2" applyNumberFormat="1" applyFont="1"/>
    <xf numFmtId="9" fontId="9" fillId="3" borderId="4" xfId="0" applyNumberFormat="1" applyFont="1" applyFill="1" applyBorder="1" applyAlignment="1">
      <alignment horizontal="center"/>
    </xf>
    <xf numFmtId="6" fontId="7" fillId="0" borderId="3" xfId="2" applyNumberFormat="1" applyFont="1" applyBorder="1"/>
    <xf numFmtId="6" fontId="7" fillId="5" borderId="0" xfId="2" applyNumberFormat="1" applyFont="1" applyFill="1"/>
    <xf numFmtId="6" fontId="9" fillId="2" borderId="2" xfId="0" applyNumberFormat="1" applyFont="1" applyFill="1" applyBorder="1" applyAlignment="1">
      <alignment horizontal="center"/>
    </xf>
    <xf numFmtId="9" fontId="9" fillId="2" borderId="2" xfId="0" applyNumberFormat="1" applyFont="1" applyFill="1" applyBorder="1" applyAlignment="1">
      <alignment horizontal="center"/>
    </xf>
    <xf numFmtId="0" fontId="9" fillId="5" borderId="3" xfId="0" applyFont="1" applyFill="1" applyBorder="1"/>
    <xf numFmtId="6" fontId="7" fillId="5" borderId="3" xfId="0" applyNumberFormat="1" applyFont="1" applyFill="1" applyBorder="1"/>
    <xf numFmtId="9" fontId="7" fillId="5" borderId="3" xfId="3" applyFont="1" applyFill="1" applyBorder="1"/>
    <xf numFmtId="6" fontId="7" fillId="5" borderId="3" xfId="2" applyNumberFormat="1" applyFont="1" applyFill="1" applyBorder="1"/>
    <xf numFmtId="9" fontId="7" fillId="5" borderId="3" xfId="0" applyNumberFormat="1" applyFont="1" applyFill="1" applyBorder="1"/>
    <xf numFmtId="0" fontId="0" fillId="5" borderId="3" xfId="0" applyFill="1" applyBorder="1"/>
    <xf numFmtId="6" fontId="9" fillId="0" borderId="0" xfId="2" applyNumberFormat="1" applyFont="1"/>
    <xf numFmtId="0" fontId="7" fillId="5" borderId="3" xfId="0" applyFont="1" applyFill="1" applyBorder="1"/>
    <xf numFmtId="6" fontId="9" fillId="2" borderId="2" xfId="0" applyNumberFormat="1" applyFont="1" applyFill="1" applyBorder="1" applyAlignment="1">
      <alignment horizontal="center" wrapText="1"/>
    </xf>
    <xf numFmtId="165" fontId="0" fillId="5" borderId="0" xfId="0" applyNumberFormat="1" applyFill="1"/>
    <xf numFmtId="6" fontId="2" fillId="5" borderId="0" xfId="0" applyNumberFormat="1" applyFont="1" applyFill="1"/>
    <xf numFmtId="6" fontId="2" fillId="0" borderId="0" xfId="0" applyNumberFormat="1" applyFont="1" applyFill="1"/>
    <xf numFmtId="6" fontId="14" fillId="5" borderId="0" xfId="0" applyNumberFormat="1" applyFont="1" applyFill="1"/>
    <xf numFmtId="6" fontId="1" fillId="0" borderId="0" xfId="0" applyNumberFormat="1" applyFont="1" applyFill="1"/>
    <xf numFmtId="6" fontId="2" fillId="0" borderId="0" xfId="0" applyNumberFormat="1" applyFont="1" applyFill="1" applyBorder="1"/>
    <xf numFmtId="6" fontId="2" fillId="0" borderId="3" xfId="0" applyNumberFormat="1" applyFont="1" applyFill="1" applyBorder="1"/>
    <xf numFmtId="6" fontId="13" fillId="0" borderId="0" xfId="0" applyNumberFormat="1" applyFont="1" applyFill="1"/>
    <xf numFmtId="6" fontId="12" fillId="0" borderId="0" xfId="0" applyNumberFormat="1" applyFont="1" applyFill="1" applyBorder="1"/>
    <xf numFmtId="6" fontId="9" fillId="0" borderId="3" xfId="0" applyNumberFormat="1" applyFont="1" applyBorder="1"/>
    <xf numFmtId="164" fontId="9" fillId="0" borderId="3" xfId="0" applyNumberFormat="1" applyFont="1" applyBorder="1" applyAlignment="1">
      <alignment horizontal="right"/>
    </xf>
    <xf numFmtId="6" fontId="9" fillId="0" borderId="3" xfId="0" applyNumberFormat="1" applyFont="1" applyBorder="1" applyAlignment="1">
      <alignment horizontal="right"/>
    </xf>
    <xf numFmtId="164" fontId="9" fillId="0" borderId="3" xfId="0" applyNumberFormat="1" applyFont="1" applyBorder="1"/>
    <xf numFmtId="165" fontId="9" fillId="0" borderId="3" xfId="0" applyNumberFormat="1" applyFont="1" applyBorder="1"/>
    <xf numFmtId="3" fontId="9" fillId="0" borderId="3" xfId="0" applyNumberFormat="1" applyFont="1" applyBorder="1"/>
    <xf numFmtId="6" fontId="9" fillId="0" borderId="3" xfId="1" applyNumberFormat="1" applyFont="1" applyFill="1" applyBorder="1" applyAlignment="1">
      <alignment horizontal="right"/>
    </xf>
    <xf numFmtId="6" fontId="9" fillId="0" borderId="3" xfId="1" applyNumberFormat="1" applyFont="1" applyFill="1" applyBorder="1"/>
    <xf numFmtId="9" fontId="9" fillId="0" borderId="3" xfId="1" applyNumberFormat="1" applyFont="1" applyFill="1" applyBorder="1"/>
    <xf numFmtId="10" fontId="2" fillId="0" borderId="0" xfId="0" applyNumberFormat="1" applyFont="1" applyFill="1"/>
    <xf numFmtId="3" fontId="2" fillId="0" borderId="0" xfId="0" applyNumberFormat="1" applyFont="1"/>
    <xf numFmtId="0" fontId="2" fillId="0" borderId="0" xfId="0" applyFont="1"/>
    <xf numFmtId="0" fontId="2" fillId="0" borderId="0" xfId="0" applyFont="1" applyAlignment="1">
      <alignment horizontal="left" vertical="center"/>
    </xf>
    <xf numFmtId="0" fontId="2"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9" fillId="0" borderId="0" xfId="0" applyFont="1" applyAlignment="1">
      <alignment horizontal="left" vertical="center" wrapText="1"/>
    </xf>
    <xf numFmtId="164" fontId="9" fillId="0" borderId="0" xfId="3" applyNumberFormat="1" applyFont="1" applyFill="1"/>
    <xf numFmtId="164" fontId="9" fillId="0" borderId="0" xfId="3" applyNumberFormat="1" applyFont="1"/>
    <xf numFmtId="3" fontId="0" fillId="0" borderId="7" xfId="0" applyNumberFormat="1" applyFill="1" applyBorder="1"/>
    <xf numFmtId="0" fontId="4" fillId="5" borderId="5" xfId="0" applyFont="1" applyFill="1" applyBorder="1"/>
    <xf numFmtId="6" fontId="0" fillId="5" borderId="5" xfId="0" applyNumberFormat="1" applyFill="1" applyBorder="1"/>
    <xf numFmtId="164" fontId="0" fillId="5" borderId="5" xfId="0" applyNumberFormat="1" applyFill="1" applyBorder="1"/>
    <xf numFmtId="6" fontId="0" fillId="5" borderId="4" xfId="0" applyNumberFormat="1" applyFill="1" applyBorder="1"/>
    <xf numFmtId="6" fontId="0" fillId="5" borderId="9" xfId="0" applyNumberFormat="1" applyFill="1" applyBorder="1"/>
    <xf numFmtId="164" fontId="0" fillId="5" borderId="9" xfId="0" applyNumberFormat="1" applyFill="1" applyBorder="1"/>
    <xf numFmtId="165" fontId="0" fillId="5" borderId="9" xfId="0" applyNumberFormat="1" applyFill="1" applyBorder="1"/>
    <xf numFmtId="3" fontId="0" fillId="5" borderId="9" xfId="0" applyNumberFormat="1" applyFill="1" applyBorder="1"/>
    <xf numFmtId="0" fontId="3" fillId="5" borderId="4" xfId="0" applyFont="1" applyFill="1" applyBorder="1"/>
    <xf numFmtId="3" fontId="0" fillId="5" borderId="4" xfId="0" applyNumberFormat="1" applyFill="1" applyBorder="1"/>
    <xf numFmtId="0" fontId="9" fillId="5" borderId="0" xfId="0" applyFont="1" applyFill="1"/>
    <xf numFmtId="6" fontId="9" fillId="2" borderId="12" xfId="0" applyNumberFormat="1" applyFont="1" applyFill="1" applyBorder="1" applyAlignment="1">
      <alignment horizontal="center"/>
    </xf>
    <xf numFmtId="164" fontId="7" fillId="0" borderId="0" xfId="0" applyNumberFormat="1" applyFont="1" applyFill="1"/>
    <xf numFmtId="168" fontId="9" fillId="0" borderId="0" xfId="0" applyNumberFormat="1" applyFont="1"/>
    <xf numFmtId="8" fontId="7" fillId="0" borderId="0" xfId="0" applyNumberFormat="1" applyFont="1"/>
    <xf numFmtId="3" fontId="2" fillId="0" borderId="0" xfId="0" applyNumberFormat="1" applyFont="1" applyBorder="1"/>
    <xf numFmtId="0" fontId="2" fillId="0" borderId="0" xfId="0" applyFont="1" applyFill="1" applyBorder="1"/>
    <xf numFmtId="3" fontId="2" fillId="0" borderId="0" xfId="0" applyNumberFormat="1" applyFont="1" applyFill="1" applyBorder="1"/>
    <xf numFmtId="0" fontId="2" fillId="0" borderId="3" xfId="0" applyFont="1" applyBorder="1"/>
    <xf numFmtId="0" fontId="2" fillId="5" borderId="0" xfId="0" applyFont="1" applyFill="1"/>
    <xf numFmtId="164" fontId="7" fillId="0" borderId="3" xfId="0" applyNumberFormat="1" applyFont="1" applyFill="1" applyBorder="1"/>
    <xf numFmtId="0" fontId="2" fillId="0" borderId="0" xfId="0" applyFont="1" applyFill="1" applyBorder="1" applyAlignment="1">
      <alignment horizontal="center" wrapText="1"/>
    </xf>
    <xf numFmtId="0" fontId="2" fillId="0" borderId="0" xfId="0" applyFont="1" applyBorder="1"/>
    <xf numFmtId="0" fontId="2" fillId="0" borderId="0" xfId="0" applyFont="1" applyAlignment="1">
      <alignment wrapText="1"/>
    </xf>
    <xf numFmtId="0" fontId="0" fillId="0" borderId="0" xfId="0" applyFont="1" applyBorder="1"/>
    <xf numFmtId="0" fontId="2" fillId="0" borderId="3" xfId="0" applyFont="1" applyFill="1" applyBorder="1"/>
    <xf numFmtId="0" fontId="2" fillId="0" borderId="0" xfId="0" applyFont="1" applyFill="1" applyBorder="1" applyAlignment="1">
      <alignment horizontal="center"/>
    </xf>
    <xf numFmtId="6" fontId="2" fillId="0" borderId="0" xfId="0" applyNumberFormat="1" applyFont="1"/>
    <xf numFmtId="0" fontId="0" fillId="0" borderId="0" xfId="0" applyFont="1"/>
    <xf numFmtId="0" fontId="0" fillId="0" borderId="0" xfId="0" applyFont="1" applyFill="1" applyBorder="1"/>
    <xf numFmtId="0" fontId="15" fillId="0" borderId="0" xfId="0" applyFont="1"/>
    <xf numFmtId="9" fontId="7" fillId="0" borderId="0" xfId="0" applyNumberFormat="1" applyFont="1" applyFill="1"/>
    <xf numFmtId="3" fontId="0" fillId="0" borderId="0" xfId="0" applyNumberFormat="1" applyFont="1"/>
    <xf numFmtId="9" fontId="2" fillId="0" borderId="0" xfId="0" applyNumberFormat="1" applyFont="1"/>
    <xf numFmtId="0" fontId="7" fillId="0" borderId="3" xfId="0" applyNumberFormat="1" applyFont="1" applyBorder="1"/>
    <xf numFmtId="10" fontId="9" fillId="0" borderId="0" xfId="0" applyNumberFormat="1" applyFont="1" applyFill="1"/>
    <xf numFmtId="6" fontId="10" fillId="0" borderId="0" xfId="0" applyNumberFormat="1" applyFont="1"/>
    <xf numFmtId="3" fontId="10" fillId="0" borderId="0" xfId="0" applyNumberFormat="1" applyFont="1"/>
    <xf numFmtId="9" fontId="10" fillId="0" borderId="0" xfId="0" applyNumberFormat="1" applyFont="1"/>
    <xf numFmtId="0" fontId="2" fillId="0" borderId="0" xfId="0" applyFont="1" applyFill="1" applyBorder="1" applyAlignment="1">
      <alignment horizontal="left"/>
    </xf>
    <xf numFmtId="3" fontId="0" fillId="0" borderId="0" xfId="0" applyNumberFormat="1" applyFont="1" applyBorder="1"/>
    <xf numFmtId="3" fontId="0" fillId="0" borderId="0" xfId="0" applyNumberFormat="1" applyFont="1" applyFill="1" applyBorder="1"/>
    <xf numFmtId="0" fontId="0" fillId="0" borderId="19" xfId="0" applyFont="1" applyBorder="1"/>
    <xf numFmtId="0" fontId="0" fillId="0" borderId="20" xfId="0" applyBorder="1"/>
    <xf numFmtId="0" fontId="0" fillId="0" borderId="19" xfId="0" applyBorder="1"/>
    <xf numFmtId="10" fontId="0" fillId="0" borderId="0" xfId="0" applyNumberFormat="1" applyFill="1"/>
    <xf numFmtId="164" fontId="2" fillId="0" borderId="0" xfId="0" applyNumberFormat="1" applyFont="1" applyAlignment="1">
      <alignment horizontal="right"/>
    </xf>
    <xf numFmtId="6" fontId="9" fillId="0" borderId="3" xfId="0" applyNumberFormat="1" applyFont="1" applyFill="1" applyBorder="1"/>
    <xf numFmtId="0" fontId="2" fillId="7" borderId="5" xfId="0" applyFont="1" applyFill="1" applyBorder="1" applyAlignment="1">
      <alignment horizontal="center"/>
    </xf>
    <xf numFmtId="0" fontId="2" fillId="7" borderId="5" xfId="0" applyFont="1" applyFill="1" applyBorder="1" applyAlignment="1">
      <alignment horizontal="center" wrapText="1"/>
    </xf>
    <xf numFmtId="0" fontId="19" fillId="0" borderId="21" xfId="4" applyFont="1" applyFill="1" applyBorder="1" applyAlignment="1">
      <alignment shrinkToFit="1"/>
    </xf>
    <xf numFmtId="1" fontId="7" fillId="0" borderId="0" xfId="0" applyNumberFormat="1" applyFont="1"/>
    <xf numFmtId="1" fontId="9" fillId="0" borderId="0" xfId="0" applyNumberFormat="1" applyFont="1" applyFill="1"/>
    <xf numFmtId="0" fontId="19" fillId="0" borderId="21" xfId="4" applyFont="1" applyBorder="1" applyAlignment="1">
      <alignment shrinkToFit="1"/>
    </xf>
    <xf numFmtId="1" fontId="7" fillId="0" borderId="3" xfId="0" applyNumberFormat="1" applyFont="1" applyBorder="1"/>
    <xf numFmtId="0" fontId="20" fillId="0" borderId="21" xfId="4" applyFont="1" applyBorder="1" applyAlignment="1">
      <alignment shrinkToFit="1"/>
    </xf>
    <xf numFmtId="0" fontId="19" fillId="0" borderId="21" xfId="5" applyFont="1" applyBorder="1" applyAlignment="1">
      <alignment shrinkToFit="1"/>
    </xf>
    <xf numFmtId="3" fontId="2" fillId="5" borderId="0" xfId="0" applyNumberFormat="1" applyFont="1" applyFill="1"/>
    <xf numFmtId="10" fontId="2" fillId="0" borderId="0" xfId="0" applyNumberFormat="1" applyFont="1"/>
    <xf numFmtId="169" fontId="7" fillId="0" borderId="0" xfId="0" applyNumberFormat="1" applyFont="1" applyBorder="1"/>
    <xf numFmtId="170" fontId="7" fillId="0" borderId="0" xfId="0" applyNumberFormat="1" applyFont="1"/>
    <xf numFmtId="170" fontId="7" fillId="5" borderId="0" xfId="0" applyNumberFormat="1" applyFont="1" applyFill="1"/>
    <xf numFmtId="170" fontId="0" fillId="0" borderId="0" xfId="2" applyNumberFormat="1" applyFont="1"/>
    <xf numFmtId="170" fontId="9" fillId="0" borderId="0" xfId="0" applyNumberFormat="1" applyFont="1"/>
    <xf numFmtId="170" fontId="7" fillId="5" borderId="0" xfId="0" applyNumberFormat="1" applyFont="1" applyFill="1" applyBorder="1"/>
    <xf numFmtId="170" fontId="7" fillId="0" borderId="3" xfId="0" applyNumberFormat="1" applyFont="1" applyBorder="1"/>
    <xf numFmtId="170" fontId="7" fillId="0" borderId="3" xfId="0" applyNumberFormat="1" applyFont="1" applyFill="1" applyBorder="1"/>
    <xf numFmtId="170" fontId="7" fillId="0" borderId="0" xfId="0" applyNumberFormat="1" applyFont="1" applyFill="1"/>
    <xf numFmtId="1" fontId="2" fillId="0" borderId="0" xfId="0" applyNumberFormat="1" applyFont="1"/>
    <xf numFmtId="1" fontId="7" fillId="5" borderId="0" xfId="0" applyNumberFormat="1" applyFont="1" applyFill="1"/>
    <xf numFmtId="1" fontId="0" fillId="0" borderId="0" xfId="2" applyNumberFormat="1" applyFont="1"/>
    <xf numFmtId="1" fontId="9" fillId="0" borderId="0" xfId="0" applyNumberFormat="1" applyFont="1"/>
    <xf numFmtId="1" fontId="7" fillId="5" borderId="0" xfId="0" applyNumberFormat="1" applyFont="1" applyFill="1" applyBorder="1"/>
    <xf numFmtId="1" fontId="7" fillId="0" borderId="3" xfId="0" applyNumberFormat="1" applyFont="1" applyFill="1" applyBorder="1"/>
    <xf numFmtId="1" fontId="7" fillId="0" borderId="0" xfId="0" applyNumberFormat="1" applyFont="1" applyFill="1"/>
    <xf numFmtId="1" fontId="7" fillId="0" borderId="0" xfId="0" applyNumberFormat="1" applyFont="1" applyBorder="1"/>
    <xf numFmtId="10" fontId="9" fillId="5" borderId="0" xfId="0" applyNumberFormat="1" applyFont="1" applyFill="1" applyBorder="1"/>
    <xf numFmtId="0" fontId="7" fillId="0" borderId="22" xfId="0" applyFont="1" applyBorder="1"/>
    <xf numFmtId="0" fontId="19" fillId="0" borderId="0" xfId="4" applyFont="1" applyFill="1" applyBorder="1" applyAlignment="1">
      <alignment shrinkToFit="1"/>
    </xf>
    <xf numFmtId="170" fontId="0" fillId="0" borderId="0" xfId="2" applyNumberFormat="1" applyFont="1" applyBorder="1"/>
    <xf numFmtId="10" fontId="7" fillId="0" borderId="0" xfId="0" applyNumberFormat="1" applyFont="1" applyBorder="1"/>
    <xf numFmtId="0" fontId="19" fillId="0" borderId="23" xfId="4" applyFont="1" applyFill="1" applyBorder="1" applyAlignment="1">
      <alignment shrinkToFit="1"/>
    </xf>
    <xf numFmtId="0" fontId="19" fillId="0" borderId="0" xfId="4" applyFont="1" applyBorder="1" applyAlignment="1">
      <alignment shrinkToFit="1"/>
    </xf>
    <xf numFmtId="0" fontId="2" fillId="0" borderId="1" xfId="0" applyFont="1" applyBorder="1"/>
    <xf numFmtId="3" fontId="7" fillId="0" borderId="3" xfId="0" applyNumberFormat="1" applyFont="1" applyFill="1" applyBorder="1"/>
    <xf numFmtId="2" fontId="7" fillId="0" borderId="0" xfId="0" applyNumberFormat="1" applyFont="1"/>
    <xf numFmtId="2" fontId="2" fillId="0" borderId="0" xfId="0" applyNumberFormat="1" applyFont="1"/>
    <xf numFmtId="2" fontId="7" fillId="5" borderId="0" xfId="0" applyNumberFormat="1" applyFont="1" applyFill="1"/>
    <xf numFmtId="2" fontId="7" fillId="0" borderId="0" xfId="0" applyNumberFormat="1" applyFont="1" applyBorder="1"/>
    <xf numFmtId="2" fontId="9" fillId="0" borderId="0" xfId="0" applyNumberFormat="1" applyFont="1" applyFill="1"/>
    <xf numFmtId="2" fontId="9" fillId="0" borderId="0" xfId="0" applyNumberFormat="1" applyFont="1"/>
    <xf numFmtId="2" fontId="7" fillId="5" borderId="0" xfId="0" applyNumberFormat="1" applyFont="1" applyFill="1" applyBorder="1"/>
    <xf numFmtId="2" fontId="7" fillId="0" borderId="3" xfId="0" applyNumberFormat="1" applyFont="1" applyBorder="1"/>
    <xf numFmtId="6" fontId="2" fillId="0" borderId="0" xfId="0" applyNumberFormat="1" applyFont="1" applyBorder="1" applyAlignment="1">
      <alignment horizontal="right"/>
    </xf>
    <xf numFmtId="6" fontId="2" fillId="0" borderId="0" xfId="0" applyNumberFormat="1" applyFont="1" applyFill="1" applyBorder="1" applyAlignment="1">
      <alignment horizontal="right"/>
    </xf>
    <xf numFmtId="6" fontId="2" fillId="0" borderId="0" xfId="0" applyNumberFormat="1" applyFont="1" applyAlignment="1">
      <alignment horizontal="right"/>
    </xf>
    <xf numFmtId="6" fontId="0" fillId="0" borderId="0" xfId="0" applyNumberFormat="1" applyAlignment="1">
      <alignment horizontal="right"/>
    </xf>
    <xf numFmtId="10" fontId="0" fillId="0" borderId="0" xfId="0" applyNumberFormat="1" applyAlignment="1">
      <alignment horizontal="right"/>
    </xf>
    <xf numFmtId="6" fontId="0" fillId="0" borderId="0" xfId="0" applyNumberFormat="1" applyBorder="1"/>
    <xf numFmtId="6" fontId="2" fillId="0" borderId="3" xfId="0" applyNumberFormat="1" applyFont="1" applyBorder="1" applyAlignment="1">
      <alignment horizontal="right"/>
    </xf>
    <xf numFmtId="6" fontId="0" fillId="0" borderId="3" xfId="0" applyNumberFormat="1" applyBorder="1" applyAlignment="1">
      <alignment horizontal="right"/>
    </xf>
    <xf numFmtId="6" fontId="0" fillId="0" borderId="0" xfId="0" applyNumberFormat="1" applyBorder="1" applyAlignment="1">
      <alignment horizontal="right"/>
    </xf>
    <xf numFmtId="10" fontId="0" fillId="0" borderId="3" xfId="0" applyNumberFormat="1" applyBorder="1" applyAlignment="1">
      <alignment horizontal="right"/>
    </xf>
    <xf numFmtId="0" fontId="0" fillId="0" borderId="0" xfId="0" applyAlignment="1">
      <alignment horizontal="right"/>
    </xf>
    <xf numFmtId="164" fontId="9" fillId="0" borderId="24" xfId="0" applyNumberFormat="1" applyFont="1" applyBorder="1"/>
    <xf numFmtId="170" fontId="7" fillId="0" borderId="0" xfId="0" applyNumberFormat="1" applyFont="1" applyBorder="1"/>
    <xf numFmtId="0" fontId="9" fillId="0" borderId="24" xfId="0" applyFont="1" applyBorder="1"/>
    <xf numFmtId="6" fontId="9" fillId="0" borderId="24" xfId="0" applyNumberFormat="1" applyFont="1" applyBorder="1"/>
    <xf numFmtId="6" fontId="9" fillId="0" borderId="24" xfId="0" applyNumberFormat="1" applyFont="1" applyBorder="1" applyAlignment="1">
      <alignment horizontal="right"/>
    </xf>
    <xf numFmtId="3" fontId="9" fillId="0" borderId="24" xfId="0" applyNumberFormat="1" applyFont="1" applyBorder="1"/>
    <xf numFmtId="10" fontId="9" fillId="0" borderId="24" xfId="0" applyNumberFormat="1" applyFont="1" applyBorder="1"/>
    <xf numFmtId="6" fontId="0" fillId="0" borderId="0" xfId="0" applyNumberFormat="1" applyFill="1" applyBorder="1" applyAlignment="1">
      <alignment horizontal="right"/>
    </xf>
    <xf numFmtId="0" fontId="10" fillId="0" borderId="0" xfId="0" applyFont="1" applyFill="1" applyBorder="1"/>
    <xf numFmtId="6" fontId="10" fillId="0" borderId="0" xfId="0" applyNumberFormat="1" applyFont="1" applyBorder="1"/>
    <xf numFmtId="164" fontId="10" fillId="0" borderId="0" xfId="0" applyNumberFormat="1" applyFont="1" applyBorder="1"/>
    <xf numFmtId="6" fontId="10" fillId="0" borderId="0" xfId="1" applyNumberFormat="1" applyFont="1" applyFill="1" applyBorder="1" applyAlignment="1">
      <alignment horizontal="right"/>
    </xf>
    <xf numFmtId="165" fontId="10" fillId="0" borderId="0" xfId="0" applyNumberFormat="1" applyFont="1" applyFill="1" applyBorder="1" applyAlignment="1">
      <alignment horizontal="right" wrapText="1"/>
    </xf>
    <xf numFmtId="6" fontId="10" fillId="0" borderId="0" xfId="0" applyNumberFormat="1" applyFont="1" applyFill="1" applyBorder="1"/>
    <xf numFmtId="6" fontId="10" fillId="0" borderId="0" xfId="0" applyNumberFormat="1" applyFont="1" applyBorder="1" applyAlignment="1">
      <alignment wrapText="1"/>
    </xf>
    <xf numFmtId="9" fontId="10" fillId="0" borderId="0" xfId="0" applyNumberFormat="1" applyFont="1" applyBorder="1"/>
    <xf numFmtId="0" fontId="2" fillId="0" borderId="1" xfId="0" applyFont="1" applyFill="1" applyBorder="1"/>
    <xf numFmtId="6" fontId="0" fillId="0" borderId="3" xfId="0" applyNumberFormat="1" applyBorder="1"/>
    <xf numFmtId="10" fontId="2" fillId="0" borderId="0" xfId="0" applyNumberFormat="1" applyFont="1" applyBorder="1" applyAlignment="1">
      <alignment horizontal="right"/>
    </xf>
    <xf numFmtId="10" fontId="2" fillId="0" borderId="0" xfId="0" applyNumberFormat="1" applyFont="1" applyFill="1" applyBorder="1" applyAlignment="1">
      <alignment horizontal="right"/>
    </xf>
    <xf numFmtId="10" fontId="7" fillId="5" borderId="0" xfId="0" applyNumberFormat="1" applyFont="1" applyFill="1" applyBorder="1"/>
    <xf numFmtId="6" fontId="2" fillId="5" borderId="0" xfId="0" applyNumberFormat="1" applyFont="1" applyFill="1" applyBorder="1" applyAlignment="1">
      <alignment horizontal="right"/>
    </xf>
    <xf numFmtId="6" fontId="2" fillId="0" borderId="3" xfId="0" applyNumberFormat="1" applyFont="1" applyFill="1" applyBorder="1" applyAlignment="1">
      <alignment horizontal="right"/>
    </xf>
    <xf numFmtId="10" fontId="9" fillId="0" borderId="0" xfId="0" applyNumberFormat="1" applyFont="1" applyBorder="1" applyAlignment="1">
      <alignment horizontal="right"/>
    </xf>
    <xf numFmtId="10" fontId="2" fillId="5" borderId="0" xfId="0" applyNumberFormat="1" applyFont="1" applyFill="1" applyBorder="1" applyAlignment="1">
      <alignment horizontal="right"/>
    </xf>
    <xf numFmtId="6" fontId="0" fillId="5" borderId="0" xfId="0" applyNumberFormat="1" applyFill="1"/>
    <xf numFmtId="10" fontId="9" fillId="0" borderId="0" xfId="0" applyNumberFormat="1" applyFont="1" applyFill="1" applyBorder="1" applyAlignment="1">
      <alignment horizontal="right"/>
    </xf>
    <xf numFmtId="10" fontId="0" fillId="5" borderId="0" xfId="0" applyNumberFormat="1" applyFill="1"/>
    <xf numFmtId="6" fontId="2" fillId="0" borderId="0" xfId="0" applyNumberFormat="1" applyFont="1" applyBorder="1"/>
    <xf numFmtId="10" fontId="2" fillId="0" borderId="3" xfId="0" applyNumberFormat="1" applyFont="1" applyFill="1" applyBorder="1" applyAlignment="1">
      <alignment horizontal="right"/>
    </xf>
    <xf numFmtId="6" fontId="9" fillId="5" borderId="24" xfId="0" applyNumberFormat="1" applyFont="1" applyFill="1" applyBorder="1"/>
    <xf numFmtId="6" fontId="9" fillId="5" borderId="0" xfId="0" applyNumberFormat="1" applyFont="1" applyFill="1" applyBorder="1" applyAlignment="1">
      <alignment horizontal="right"/>
    </xf>
    <xf numFmtId="10" fontId="9" fillId="5" borderId="24" xfId="0" applyNumberFormat="1" applyFont="1" applyFill="1" applyBorder="1" applyAlignment="1">
      <alignment horizontal="right"/>
    </xf>
    <xf numFmtId="10" fontId="9" fillId="5" borderId="24" xfId="0" applyNumberFormat="1" applyFont="1" applyFill="1" applyBorder="1"/>
    <xf numFmtId="0" fontId="9" fillId="0" borderId="24" xfId="0" applyFont="1" applyFill="1" applyBorder="1"/>
    <xf numFmtId="6" fontId="9" fillId="0" borderId="24" xfId="0" applyNumberFormat="1" applyFont="1" applyFill="1" applyBorder="1"/>
    <xf numFmtId="6" fontId="9" fillId="0" borderId="24" xfId="0" applyNumberFormat="1" applyFont="1" applyFill="1" applyBorder="1" applyAlignment="1">
      <alignment horizontal="right"/>
    </xf>
    <xf numFmtId="10" fontId="9" fillId="0" borderId="24" xfId="0" applyNumberFormat="1" applyFont="1" applyFill="1" applyBorder="1" applyAlignment="1">
      <alignment horizontal="right"/>
    </xf>
    <xf numFmtId="164" fontId="9" fillId="0" borderId="24" xfId="0" applyNumberFormat="1" applyFont="1" applyFill="1" applyBorder="1" applyAlignment="1">
      <alignment horizontal="right"/>
    </xf>
    <xf numFmtId="164" fontId="9" fillId="0" borderId="24" xfId="0" applyNumberFormat="1" applyFont="1" applyFill="1" applyBorder="1"/>
    <xf numFmtId="9" fontId="9" fillId="0" borderId="24" xfId="1" applyNumberFormat="1" applyFont="1" applyFill="1" applyBorder="1"/>
    <xf numFmtId="6" fontId="14" fillId="0" borderId="24" xfId="0" applyNumberFormat="1" applyFont="1" applyFill="1" applyBorder="1"/>
    <xf numFmtId="6" fontId="9" fillId="0" borderId="24" xfId="0" applyNumberFormat="1" applyFont="1" applyFill="1" applyBorder="1" applyAlignment="1">
      <alignment wrapText="1"/>
    </xf>
    <xf numFmtId="9" fontId="9" fillId="0" borderId="24" xfId="0" applyNumberFormat="1" applyFont="1" applyFill="1" applyBorder="1"/>
    <xf numFmtId="10" fontId="7" fillId="0" borderId="0" xfId="0" applyNumberFormat="1" applyFont="1" applyFill="1" applyBorder="1"/>
    <xf numFmtId="0" fontId="9" fillId="5" borderId="24" xfId="0" applyFont="1" applyFill="1" applyBorder="1"/>
    <xf numFmtId="6" fontId="9" fillId="5" borderId="24" xfId="0" applyNumberFormat="1" applyFont="1" applyFill="1" applyBorder="1" applyAlignment="1">
      <alignment horizontal="right"/>
    </xf>
    <xf numFmtId="164" fontId="9" fillId="5" borderId="24" xfId="0" applyNumberFormat="1" applyFont="1" applyFill="1" applyBorder="1"/>
    <xf numFmtId="165" fontId="9" fillId="5" borderId="24" xfId="0" applyNumberFormat="1" applyFont="1" applyFill="1" applyBorder="1"/>
    <xf numFmtId="1" fontId="9" fillId="5" borderId="24" xfId="0" applyNumberFormat="1" applyFont="1" applyFill="1" applyBorder="1"/>
    <xf numFmtId="3" fontId="9" fillId="5" borderId="24" xfId="0" applyNumberFormat="1" applyFont="1" applyFill="1" applyBorder="1"/>
    <xf numFmtId="164" fontId="7" fillId="0" borderId="3" xfId="0" applyNumberFormat="1" applyFont="1" applyBorder="1" applyAlignment="1">
      <alignment horizontal="center"/>
    </xf>
    <xf numFmtId="0" fontId="19" fillId="0" borderId="26" xfId="4" applyFont="1" applyFill="1" applyBorder="1" applyAlignment="1">
      <alignment shrinkToFit="1"/>
    </xf>
    <xf numFmtId="170" fontId="0" fillId="0" borderId="3" xfId="2" applyNumberFormat="1" applyFont="1" applyBorder="1"/>
    <xf numFmtId="3" fontId="2" fillId="0" borderId="3" xfId="0" applyNumberFormat="1" applyFont="1" applyBorder="1"/>
    <xf numFmtId="10" fontId="9" fillId="0" borderId="0" xfId="0" applyNumberFormat="1" applyFont="1" applyBorder="1"/>
    <xf numFmtId="164" fontId="9" fillId="0" borderId="0" xfId="0" applyNumberFormat="1" applyFont="1" applyFill="1" applyBorder="1"/>
    <xf numFmtId="167" fontId="9" fillId="0" borderId="0" xfId="0" applyNumberFormat="1" applyFont="1" applyBorder="1"/>
    <xf numFmtId="1" fontId="9" fillId="0" borderId="0" xfId="0" applyNumberFormat="1" applyFont="1" applyBorder="1"/>
    <xf numFmtId="3" fontId="9" fillId="0" borderId="0" xfId="0" applyNumberFormat="1" applyFont="1" applyFill="1" applyBorder="1"/>
    <xf numFmtId="10" fontId="9" fillId="5" borderId="0" xfId="0" applyNumberFormat="1" applyFont="1" applyFill="1"/>
    <xf numFmtId="6" fontId="0" fillId="0" borderId="3" xfId="0" applyNumberFormat="1" applyFill="1" applyBorder="1" applyAlignment="1">
      <alignment horizontal="right"/>
    </xf>
    <xf numFmtId="166" fontId="3" fillId="6" borderId="10" xfId="0" applyNumberFormat="1" applyFont="1" applyFill="1" applyBorder="1" applyAlignment="1">
      <alignment horizontal="center" wrapText="1"/>
    </xf>
    <xf numFmtId="166" fontId="3" fillId="6" borderId="4" xfId="0" applyNumberFormat="1" applyFont="1" applyFill="1" applyBorder="1" applyAlignment="1">
      <alignment horizontal="center" wrapText="1"/>
    </xf>
    <xf numFmtId="0" fontId="6" fillId="0" borderId="3" xfId="0" applyFont="1" applyBorder="1"/>
    <xf numFmtId="0" fontId="3" fillId="6" borderId="5" xfId="0" applyFont="1" applyFill="1" applyBorder="1" applyAlignment="1">
      <alignment horizontal="center"/>
    </xf>
    <xf numFmtId="0" fontId="0" fillId="6" borderId="6" xfId="0" applyFill="1" applyBorder="1"/>
    <xf numFmtId="0" fontId="3" fillId="6" borderId="4" xfId="0" applyFont="1" applyFill="1" applyBorder="1"/>
    <xf numFmtId="0" fontId="3" fillId="8" borderId="6" xfId="0" applyFont="1" applyFill="1" applyBorder="1" applyAlignment="1">
      <alignment horizontal="center"/>
    </xf>
    <xf numFmtId="0" fontId="3" fillId="8" borderId="4" xfId="0" applyFont="1" applyFill="1" applyBorder="1" applyAlignment="1">
      <alignment horizontal="center"/>
    </xf>
    <xf numFmtId="0" fontId="3" fillId="6" borderId="6" xfId="0" applyFont="1" applyFill="1" applyBorder="1" applyAlignment="1">
      <alignment horizontal="center"/>
    </xf>
    <xf numFmtId="0" fontId="3" fillId="6" borderId="4" xfId="0" applyFont="1" applyFill="1" applyBorder="1" applyAlignment="1">
      <alignment horizontal="center"/>
    </xf>
    <xf numFmtId="0" fontId="3" fillId="8" borderId="5" xfId="0" applyFont="1" applyFill="1" applyBorder="1" applyAlignment="1">
      <alignment horizontal="center"/>
    </xf>
    <xf numFmtId="0" fontId="3" fillId="6" borderId="6" xfId="0" applyFont="1" applyFill="1" applyBorder="1"/>
    <xf numFmtId="0" fontId="3" fillId="6" borderId="10" xfId="0" applyFont="1" applyFill="1" applyBorder="1"/>
    <xf numFmtId="0" fontId="3" fillId="6" borderId="2" xfId="0" applyFont="1" applyFill="1" applyBorder="1" applyAlignment="1">
      <alignment horizontal="center"/>
    </xf>
    <xf numFmtId="10" fontId="3" fillId="6" borderId="5" xfId="0" applyNumberFormat="1" applyFont="1" applyFill="1" applyBorder="1" applyAlignment="1">
      <alignment horizontal="center"/>
    </xf>
    <xf numFmtId="0" fontId="3" fillId="8" borderId="7" xfId="0" applyFont="1" applyFill="1" applyBorder="1" applyAlignment="1">
      <alignment horizontal="center"/>
    </xf>
    <xf numFmtId="0" fontId="3" fillId="8" borderId="6" xfId="0" applyFont="1" applyFill="1" applyBorder="1" applyAlignment="1">
      <alignment horizontal="left"/>
    </xf>
    <xf numFmtId="0" fontId="3" fillId="8" borderId="2" xfId="0" applyFont="1" applyFill="1" applyBorder="1" applyAlignment="1">
      <alignment horizontal="center"/>
    </xf>
    <xf numFmtId="10" fontId="3" fillId="8" borderId="5" xfId="0" applyNumberFormat="1" applyFont="1" applyFill="1" applyBorder="1" applyAlignment="1">
      <alignment horizontal="center"/>
    </xf>
    <xf numFmtId="166" fontId="3" fillId="6" borderId="6" xfId="0" applyNumberFormat="1" applyFont="1" applyFill="1" applyBorder="1" applyAlignment="1">
      <alignment horizontal="center"/>
    </xf>
    <xf numFmtId="166" fontId="3" fillId="6" borderId="4" xfId="0" applyNumberFormat="1" applyFont="1" applyFill="1" applyBorder="1" applyAlignment="1">
      <alignment horizontal="center"/>
    </xf>
    <xf numFmtId="166" fontId="3" fillId="8" borderId="6" xfId="0" applyNumberFormat="1" applyFont="1" applyFill="1" applyBorder="1" applyAlignment="1">
      <alignment horizontal="center"/>
    </xf>
    <xf numFmtId="166" fontId="3" fillId="8" borderId="4" xfId="0" applyNumberFormat="1" applyFont="1" applyFill="1" applyBorder="1" applyAlignment="1">
      <alignment horizontal="center"/>
    </xf>
    <xf numFmtId="0" fontId="3" fillId="8" borderId="12" xfId="0" applyFont="1" applyFill="1" applyBorder="1" applyAlignment="1">
      <alignment horizontal="center"/>
    </xf>
    <xf numFmtId="0" fontId="3" fillId="6" borderId="0" xfId="0" applyFont="1" applyFill="1" applyBorder="1" applyAlignment="1">
      <alignment horizontal="center"/>
    </xf>
    <xf numFmtId="0" fontId="3" fillId="6" borderId="1" xfId="0" applyFont="1" applyFill="1" applyBorder="1" applyAlignment="1">
      <alignment horizontal="center"/>
    </xf>
    <xf numFmtId="0" fontId="3" fillId="8" borderId="0" xfId="0" applyFont="1" applyFill="1" applyAlignment="1">
      <alignment horizontal="center"/>
    </xf>
    <xf numFmtId="10" fontId="3" fillId="8" borderId="9" xfId="0" applyNumberFormat="1" applyFont="1" applyFill="1" applyBorder="1" applyAlignment="1">
      <alignment horizontal="center"/>
    </xf>
    <xf numFmtId="0" fontId="0" fillId="0" borderId="3" xfId="0" applyFill="1" applyBorder="1"/>
    <xf numFmtId="0" fontId="3" fillId="8" borderId="9" xfId="0" applyFont="1" applyFill="1" applyBorder="1"/>
    <xf numFmtId="0" fontId="3" fillId="8" borderId="10" xfId="0" applyFont="1" applyFill="1" applyBorder="1" applyAlignment="1">
      <alignment horizontal="center"/>
    </xf>
    <xf numFmtId="0" fontId="3" fillId="8" borderId="12" xfId="0" applyFont="1" applyFill="1" applyBorder="1"/>
    <xf numFmtId="0" fontId="3" fillId="8" borderId="8" xfId="0" applyFont="1" applyFill="1" applyBorder="1" applyAlignment="1">
      <alignment horizontal="center"/>
    </xf>
    <xf numFmtId="0" fontId="3" fillId="6" borderId="8" xfId="0" applyFont="1" applyFill="1" applyBorder="1" applyAlignment="1">
      <alignment horizontal="center"/>
    </xf>
    <xf numFmtId="10" fontId="3" fillId="6" borderId="7" xfId="0" applyNumberFormat="1" applyFont="1" applyFill="1" applyBorder="1" applyAlignment="1">
      <alignment horizontal="center"/>
    </xf>
    <xf numFmtId="10" fontId="3" fillId="8" borderId="7" xfId="0" applyNumberFormat="1" applyFont="1" applyFill="1" applyBorder="1" applyAlignment="1">
      <alignment horizontal="center"/>
    </xf>
    <xf numFmtId="0" fontId="3" fillId="8" borderId="17" xfId="0" applyFont="1" applyFill="1" applyBorder="1" applyAlignment="1">
      <alignment horizontal="center"/>
    </xf>
    <xf numFmtId="0" fontId="3" fillId="6" borderId="9" xfId="0" applyFont="1" applyFill="1" applyBorder="1" applyAlignment="1">
      <alignment horizontal="center"/>
    </xf>
    <xf numFmtId="166" fontId="3" fillId="8" borderId="10" xfId="0" applyNumberFormat="1" applyFont="1" applyFill="1" applyBorder="1" applyAlignment="1">
      <alignment horizontal="center" vertical="center" wrapText="1"/>
    </xf>
    <xf numFmtId="0" fontId="3" fillId="8" borderId="14" xfId="0" applyFont="1" applyFill="1" applyBorder="1" applyAlignment="1">
      <alignment horizontal="center" wrapText="1"/>
    </xf>
    <xf numFmtId="166" fontId="3" fillId="6" borderId="10" xfId="0" applyNumberFormat="1" applyFont="1" applyFill="1" applyBorder="1" applyAlignment="1">
      <alignment horizontal="center" vertical="center" wrapText="1"/>
    </xf>
    <xf numFmtId="166" fontId="3" fillId="8" borderId="4" xfId="0" applyNumberFormat="1" applyFont="1" applyFill="1" applyBorder="1" applyAlignment="1">
      <alignment horizontal="center" vertical="center" wrapText="1"/>
    </xf>
    <xf numFmtId="0" fontId="3" fillId="6" borderId="9" xfId="0" applyFont="1" applyFill="1" applyBorder="1" applyAlignment="1">
      <alignment horizontal="left"/>
    </xf>
    <xf numFmtId="0" fontId="3" fillId="6" borderId="12" xfId="0" applyFont="1" applyFill="1" applyBorder="1" applyAlignment="1">
      <alignment horizontal="left"/>
    </xf>
    <xf numFmtId="0" fontId="3" fillId="8" borderId="13" xfId="0" applyFont="1" applyFill="1" applyBorder="1" applyAlignment="1">
      <alignment horizontal="left"/>
    </xf>
    <xf numFmtId="0" fontId="3" fillId="6" borderId="4" xfId="0" applyFont="1" applyFill="1" applyBorder="1" applyAlignment="1">
      <alignment horizontal="center" vertical="center"/>
    </xf>
    <xf numFmtId="0" fontId="7" fillId="6" borderId="10" xfId="0" applyFont="1" applyFill="1" applyBorder="1"/>
    <xf numFmtId="0" fontId="9" fillId="8" borderId="6" xfId="0" applyFont="1" applyFill="1" applyBorder="1" applyAlignment="1">
      <alignment horizontal="center"/>
    </xf>
    <xf numFmtId="0" fontId="9" fillId="8" borderId="4" xfId="0" applyFont="1" applyFill="1" applyBorder="1" applyAlignment="1">
      <alignment horizontal="center" wrapText="1"/>
    </xf>
    <xf numFmtId="0" fontId="9" fillId="6" borderId="6" xfId="0" applyFont="1" applyFill="1" applyBorder="1" applyAlignment="1">
      <alignment horizontal="center"/>
    </xf>
    <xf numFmtId="0" fontId="9" fillId="6" borderId="25" xfId="0" applyFont="1" applyFill="1" applyBorder="1" applyAlignment="1">
      <alignment horizontal="center"/>
    </xf>
    <xf numFmtId="10" fontId="9" fillId="6" borderId="25" xfId="0" applyNumberFormat="1" applyFont="1" applyFill="1" applyBorder="1" applyAlignment="1">
      <alignment horizontal="center"/>
    </xf>
    <xf numFmtId="0" fontId="9" fillId="6" borderId="4" xfId="0" applyFont="1" applyFill="1" applyBorder="1" applyAlignment="1">
      <alignment horizontal="center" wrapText="1"/>
    </xf>
    <xf numFmtId="0" fontId="9" fillId="6" borderId="8" xfId="0" applyFont="1" applyFill="1" applyBorder="1" applyAlignment="1">
      <alignment horizontal="center"/>
    </xf>
    <xf numFmtId="10" fontId="9" fillId="6" borderId="7" xfId="0" applyNumberFormat="1" applyFont="1" applyFill="1" applyBorder="1" applyAlignment="1">
      <alignment horizontal="center"/>
    </xf>
    <xf numFmtId="0" fontId="9" fillId="8" borderId="15" xfId="0" applyFont="1" applyFill="1" applyBorder="1" applyAlignment="1">
      <alignment horizontal="center"/>
    </xf>
    <xf numFmtId="10" fontId="9" fillId="8" borderId="16" xfId="0" applyNumberFormat="1" applyFont="1" applyFill="1" applyBorder="1" applyAlignment="1">
      <alignment horizontal="center"/>
    </xf>
    <xf numFmtId="0" fontId="9" fillId="8" borderId="8" xfId="0" applyFont="1" applyFill="1" applyBorder="1" applyAlignment="1">
      <alignment horizontal="center"/>
    </xf>
    <xf numFmtId="10" fontId="9" fillId="8" borderId="7" xfId="0" applyNumberFormat="1" applyFont="1" applyFill="1" applyBorder="1" applyAlignment="1">
      <alignment horizontal="center"/>
    </xf>
    <xf numFmtId="0" fontId="9" fillId="8" borderId="4" xfId="0" applyFont="1" applyFill="1" applyBorder="1" applyAlignment="1">
      <alignment horizontal="center"/>
    </xf>
    <xf numFmtId="0" fontId="9" fillId="6" borderId="4" xfId="0" applyFont="1" applyFill="1" applyBorder="1" applyAlignment="1">
      <alignment horizontal="center"/>
    </xf>
    <xf numFmtId="0" fontId="9" fillId="6" borderId="7" xfId="0" applyFont="1" applyFill="1" applyBorder="1" applyAlignment="1">
      <alignment horizontal="center"/>
    </xf>
    <xf numFmtId="6" fontId="9" fillId="8" borderId="6" xfId="0" applyNumberFormat="1" applyFont="1" applyFill="1" applyBorder="1" applyAlignment="1">
      <alignment horizontal="center"/>
    </xf>
    <xf numFmtId="6" fontId="9" fillId="8" borderId="4" xfId="0" applyNumberFormat="1" applyFont="1" applyFill="1" applyBorder="1" applyAlignment="1">
      <alignment horizontal="center"/>
    </xf>
    <xf numFmtId="6" fontId="9" fillId="8" borderId="8" xfId="0" applyNumberFormat="1" applyFont="1" applyFill="1" applyBorder="1" applyAlignment="1">
      <alignment horizontal="center"/>
    </xf>
    <xf numFmtId="166" fontId="9" fillId="6" borderId="6" xfId="0" applyNumberFormat="1" applyFont="1" applyFill="1" applyBorder="1" applyAlignment="1">
      <alignment horizontal="center"/>
    </xf>
    <xf numFmtId="166" fontId="9" fillId="6" borderId="4" xfId="0" applyNumberFormat="1" applyFont="1" applyFill="1" applyBorder="1" applyAlignment="1">
      <alignment horizontal="center"/>
    </xf>
    <xf numFmtId="6" fontId="9" fillId="8" borderId="11" xfId="0" applyNumberFormat="1" applyFont="1" applyFill="1" applyBorder="1" applyAlignment="1">
      <alignment horizontal="center"/>
    </xf>
    <xf numFmtId="0" fontId="9" fillId="6" borderId="10" xfId="0" applyFont="1" applyFill="1" applyBorder="1" applyAlignment="1">
      <alignment horizontal="center"/>
    </xf>
    <xf numFmtId="6" fontId="9" fillId="6" borderId="5" xfId="0" applyNumberFormat="1" applyFont="1" applyFill="1" applyBorder="1" applyAlignment="1">
      <alignment horizontal="center" wrapText="1"/>
    </xf>
    <xf numFmtId="6" fontId="9" fillId="6" borderId="4" xfId="0" applyNumberFormat="1" applyFont="1" applyFill="1" applyBorder="1" applyAlignment="1">
      <alignment horizontal="center"/>
    </xf>
    <xf numFmtId="9" fontId="9" fillId="6" borderId="7" xfId="0" applyNumberFormat="1" applyFont="1" applyFill="1" applyBorder="1" applyAlignment="1">
      <alignment horizontal="center"/>
    </xf>
    <xf numFmtId="0" fontId="9" fillId="8" borderId="12" xfId="0" applyFont="1" applyFill="1" applyBorder="1" applyAlignment="1">
      <alignment horizontal="left"/>
    </xf>
    <xf numFmtId="0" fontId="0" fillId="8" borderId="9" xfId="0" applyFill="1" applyBorder="1" applyAlignment="1"/>
    <xf numFmtId="9" fontId="9" fillId="8" borderId="7" xfId="0" applyNumberFormat="1" applyFont="1" applyFill="1" applyBorder="1" applyAlignment="1">
      <alignment horizontal="center"/>
    </xf>
    <xf numFmtId="0" fontId="9" fillId="8" borderId="5" xfId="0" applyFont="1" applyFill="1" applyBorder="1" applyAlignment="1">
      <alignment horizontal="center"/>
    </xf>
    <xf numFmtId="0" fontId="9" fillId="8" borderId="5" xfId="0" applyFont="1" applyFill="1" applyBorder="1" applyAlignment="1">
      <alignment horizontal="center" wrapText="1"/>
    </xf>
    <xf numFmtId="0" fontId="9" fillId="6" borderId="12" xfId="0" applyFont="1" applyFill="1" applyBorder="1" applyAlignment="1">
      <alignment horizontal="left"/>
    </xf>
    <xf numFmtId="0" fontId="0" fillId="6" borderId="9" xfId="0" applyFill="1" applyBorder="1" applyAlignment="1"/>
    <xf numFmtId="0" fontId="7" fillId="0" borderId="0" xfId="0" applyNumberFormat="1" applyFont="1"/>
    <xf numFmtId="6" fontId="9" fillId="8" borderId="10" xfId="0" applyNumberFormat="1" applyFont="1" applyFill="1" applyBorder="1" applyAlignment="1">
      <alignment horizontal="center"/>
    </xf>
    <xf numFmtId="0" fontId="9" fillId="6" borderId="12" xfId="0" applyFont="1" applyFill="1" applyBorder="1" applyAlignment="1">
      <alignment horizontal="center"/>
    </xf>
    <xf numFmtId="0" fontId="9" fillId="8" borderId="12" xfId="0" applyFont="1" applyFill="1" applyBorder="1" applyAlignment="1">
      <alignment horizontal="center"/>
    </xf>
    <xf numFmtId="0" fontId="9" fillId="6" borderId="0" xfId="0" applyFont="1" applyFill="1" applyBorder="1" applyAlignment="1">
      <alignment horizontal="center" wrapText="1"/>
    </xf>
    <xf numFmtId="0" fontId="9" fillId="6" borderId="13" xfId="0" applyFont="1" applyFill="1" applyBorder="1" applyAlignment="1">
      <alignment horizontal="left"/>
    </xf>
    <xf numFmtId="9" fontId="9" fillId="6" borderId="5" xfId="0" applyNumberFormat="1" applyFont="1" applyFill="1" applyBorder="1" applyAlignment="1">
      <alignment horizontal="center"/>
    </xf>
    <xf numFmtId="6" fontId="9" fillId="6" borderId="5" xfId="0" applyNumberFormat="1" applyFont="1" applyFill="1" applyBorder="1" applyAlignment="1">
      <alignment horizontal="center"/>
    </xf>
    <xf numFmtId="0" fontId="9" fillId="8" borderId="10" xfId="0" applyFont="1" applyFill="1" applyBorder="1" applyAlignment="1">
      <alignment horizontal="center"/>
    </xf>
    <xf numFmtId="0" fontId="7" fillId="5" borderId="24" xfId="0" applyFont="1" applyFill="1" applyBorder="1"/>
    <xf numFmtId="10" fontId="0" fillId="0" borderId="0" xfId="0" applyNumberFormat="1" applyBorder="1" applyAlignment="1">
      <alignment horizontal="right"/>
    </xf>
    <xf numFmtId="165" fontId="9" fillId="0" borderId="0" xfId="0" applyNumberFormat="1" applyFont="1" applyFill="1" applyBorder="1"/>
    <xf numFmtId="10" fontId="2" fillId="0" borderId="3" xfId="0" applyNumberFormat="1" applyFont="1" applyBorder="1" applyAlignment="1">
      <alignment horizontal="right"/>
    </xf>
    <xf numFmtId="165" fontId="7" fillId="0" borderId="0" xfId="0" applyNumberFormat="1" applyFont="1" applyFill="1"/>
    <xf numFmtId="165" fontId="7" fillId="0" borderId="3" xfId="0" applyNumberFormat="1" applyFont="1" applyFill="1" applyBorder="1"/>
    <xf numFmtId="0" fontId="19" fillId="0" borderId="3" xfId="4" applyFont="1" applyFill="1" applyBorder="1" applyAlignment="1">
      <alignment shrinkToFit="1"/>
    </xf>
    <xf numFmtId="3" fontId="0" fillId="0" borderId="18" xfId="0" applyNumberFormat="1" applyFill="1" applyBorder="1"/>
    <xf numFmtId="6" fontId="2" fillId="0" borderId="5" xfId="0" applyNumberFormat="1" applyFont="1" applyFill="1" applyBorder="1"/>
    <xf numFmtId="10" fontId="2" fillId="0" borderId="5" xfId="0" applyNumberFormat="1" applyFont="1" applyFill="1" applyBorder="1"/>
    <xf numFmtId="6" fontId="2" fillId="5" borderId="5" xfId="0" applyNumberFormat="1" applyFont="1" applyFill="1" applyBorder="1"/>
    <xf numFmtId="10" fontId="2" fillId="5" borderId="5" xfId="0" applyNumberFormat="1" applyFont="1" applyFill="1" applyBorder="1"/>
    <xf numFmtId="3" fontId="2" fillId="0" borderId="5" xfId="0" applyNumberFormat="1" applyFont="1" applyFill="1" applyBorder="1"/>
    <xf numFmtId="3" fontId="2" fillId="5" borderId="5" xfId="0" applyNumberFormat="1" applyFont="1" applyFill="1" applyBorder="1"/>
    <xf numFmtId="10" fontId="0" fillId="0" borderId="5" xfId="3" applyNumberFormat="1" applyFont="1" applyFill="1" applyBorder="1"/>
    <xf numFmtId="165" fontId="2" fillId="0" borderId="5" xfId="0" applyNumberFormat="1" applyFont="1" applyFill="1" applyBorder="1"/>
    <xf numFmtId="10" fontId="0" fillId="0" borderId="14" xfId="0" applyNumberFormat="1" applyFill="1" applyBorder="1"/>
    <xf numFmtId="10" fontId="0" fillId="0" borderId="5" xfId="0" applyNumberFormat="1" applyFill="1" applyBorder="1"/>
    <xf numFmtId="10" fontId="0" fillId="5" borderId="5" xfId="0" applyNumberFormat="1" applyFill="1" applyBorder="1"/>
    <xf numFmtId="6" fontId="0" fillId="0" borderId="14" xfId="0" applyNumberFormat="1" applyFill="1" applyBorder="1"/>
    <xf numFmtId="10" fontId="0" fillId="5" borderId="5" xfId="3" applyNumberFormat="1" applyFont="1" applyFill="1" applyBorder="1"/>
    <xf numFmtId="165" fontId="2" fillId="5" borderId="5" xfId="0" applyNumberFormat="1" applyFont="1" applyFill="1" applyBorder="1"/>
    <xf numFmtId="6" fontId="0" fillId="5" borderId="14" xfId="0" applyNumberFormat="1" applyFill="1" applyBorder="1"/>
    <xf numFmtId="10" fontId="0" fillId="5" borderId="14" xfId="0" applyNumberFormat="1" applyFill="1" applyBorder="1"/>
    <xf numFmtId="10" fontId="0" fillId="5" borderId="9" xfId="0" applyNumberFormat="1" applyFill="1" applyBorder="1"/>
    <xf numFmtId="3" fontId="0" fillId="5" borderId="18" xfId="0" applyNumberFormat="1" applyFill="1" applyBorder="1"/>
    <xf numFmtId="0" fontId="9" fillId="6" borderId="4" xfId="0" applyFont="1" applyFill="1" applyBorder="1" applyAlignment="1">
      <alignment vertical="center"/>
    </xf>
    <xf numFmtId="0" fontId="6" fillId="0" borderId="0" xfId="0" applyFont="1" applyAlignment="1">
      <alignment vertical="center"/>
    </xf>
    <xf numFmtId="0" fontId="3" fillId="6" borderId="4" xfId="0" applyFont="1" applyFill="1" applyBorder="1" applyAlignment="1">
      <alignment vertical="center"/>
    </xf>
    <xf numFmtId="164" fontId="2" fillId="0" borderId="0" xfId="0" applyNumberFormat="1" applyFont="1"/>
    <xf numFmtId="6" fontId="2" fillId="0" borderId="0" xfId="0" applyNumberFormat="1" applyFont="1" applyAlignment="1">
      <alignment horizontal="right" vertical="top"/>
    </xf>
    <xf numFmtId="6" fontId="7" fillId="0" borderId="0" xfId="0" applyNumberFormat="1" applyFont="1" applyAlignment="1">
      <alignment horizontal="right" vertical="top"/>
    </xf>
    <xf numFmtId="6" fontId="2" fillId="0" borderId="0" xfId="1" applyNumberFormat="1" applyFont="1" applyFill="1" applyAlignment="1">
      <alignment horizontal="right"/>
    </xf>
    <xf numFmtId="6" fontId="2" fillId="0" borderId="0" xfId="0" applyNumberFormat="1" applyFont="1" applyFill="1" applyAlignment="1">
      <alignment horizontal="right" vertical="top"/>
    </xf>
    <xf numFmtId="6" fontId="7" fillId="0" borderId="0" xfId="0" applyNumberFormat="1" applyFont="1" applyBorder="1" applyAlignment="1">
      <alignment horizontal="right" vertical="top"/>
    </xf>
    <xf numFmtId="6" fontId="2" fillId="0" borderId="0" xfId="0" applyNumberFormat="1" applyFont="1" applyBorder="1" applyAlignment="1">
      <alignment horizontal="right" vertical="top"/>
    </xf>
    <xf numFmtId="3" fontId="0" fillId="0" borderId="0" xfId="0" applyNumberFormat="1" applyFill="1"/>
    <xf numFmtId="3" fontId="7" fillId="0" borderId="0" xfId="0" applyNumberFormat="1" applyFont="1" applyFill="1" applyBorder="1"/>
    <xf numFmtId="164" fontId="0" fillId="6" borderId="9" xfId="0" applyNumberFormat="1" applyFill="1" applyBorder="1" applyAlignment="1"/>
    <xf numFmtId="164" fontId="9" fillId="6" borderId="7" xfId="0" applyNumberFormat="1" applyFont="1" applyFill="1" applyBorder="1" applyAlignment="1">
      <alignment horizontal="center"/>
    </xf>
    <xf numFmtId="164" fontId="0" fillId="8" borderId="9" xfId="0" applyNumberFormat="1" applyFill="1" applyBorder="1" applyAlignment="1"/>
    <xf numFmtId="164" fontId="9" fillId="8" borderId="7" xfId="0" applyNumberFormat="1" applyFont="1" applyFill="1" applyBorder="1" applyAlignment="1">
      <alignment horizontal="center"/>
    </xf>
    <xf numFmtId="164" fontId="7" fillId="0" borderId="0" xfId="1" applyNumberFormat="1" applyFont="1" applyFill="1" applyAlignment="1">
      <alignment horizontal="right"/>
    </xf>
    <xf numFmtId="164" fontId="2" fillId="0" borderId="0" xfId="0" applyNumberFormat="1" applyFont="1" applyFill="1" applyAlignment="1">
      <alignment horizontal="right" vertical="top"/>
    </xf>
    <xf numFmtId="6" fontId="9" fillId="8" borderId="12" xfId="0" applyNumberFormat="1" applyFont="1" applyFill="1" applyBorder="1" applyAlignment="1">
      <alignment horizontal="left"/>
    </xf>
    <xf numFmtId="6" fontId="9" fillId="6" borderId="12" xfId="0" applyNumberFormat="1" applyFont="1" applyFill="1" applyBorder="1" applyAlignment="1">
      <alignment horizontal="left"/>
    </xf>
    <xf numFmtId="6" fontId="9" fillId="8" borderId="5" xfId="0" applyNumberFormat="1" applyFont="1" applyFill="1" applyBorder="1" applyAlignment="1">
      <alignment horizontal="center"/>
    </xf>
    <xf numFmtId="6" fontId="9" fillId="8" borderId="5" xfId="0" applyNumberFormat="1" applyFont="1" applyFill="1" applyBorder="1" applyAlignment="1">
      <alignment horizontal="center" wrapText="1"/>
    </xf>
    <xf numFmtId="165" fontId="0" fillId="0" borderId="0" xfId="0" applyNumberFormat="1" applyAlignment="1">
      <alignment horizontal="right"/>
    </xf>
    <xf numFmtId="10" fontId="9" fillId="0" borderId="0" xfId="0" applyNumberFormat="1" applyFont="1" applyFill="1" applyBorder="1"/>
    <xf numFmtId="3" fontId="10" fillId="0" borderId="0" xfId="0" applyNumberFormat="1" applyFont="1" applyBorder="1"/>
    <xf numFmtId="165" fontId="2" fillId="0" borderId="0" xfId="0" applyNumberFormat="1" applyFont="1"/>
    <xf numFmtId="165" fontId="2" fillId="0" borderId="0" xfId="0" applyNumberFormat="1" applyFont="1" applyBorder="1"/>
    <xf numFmtId="165" fontId="2" fillId="0" borderId="0" xfId="0" applyNumberFormat="1" applyFont="1" applyFill="1" applyBorder="1"/>
    <xf numFmtId="3" fontId="2" fillId="0" borderId="0" xfId="0" applyNumberFormat="1" applyFont="1" applyFill="1"/>
    <xf numFmtId="3" fontId="2" fillId="0" borderId="3" xfId="0" applyNumberFormat="1" applyFont="1" applyFill="1" applyBorder="1"/>
    <xf numFmtId="3" fontId="7" fillId="0" borderId="24" xfId="0" applyNumberFormat="1" applyFont="1" applyBorder="1"/>
    <xf numFmtId="3" fontId="7" fillId="0" borderId="24" xfId="0" applyNumberFormat="1" applyFont="1" applyFill="1" applyBorder="1"/>
    <xf numFmtId="6" fontId="7" fillId="0" borderId="24" xfId="0" applyNumberFormat="1" applyFont="1" applyBorder="1"/>
    <xf numFmtId="9" fontId="7" fillId="0" borderId="24" xfId="0" applyNumberFormat="1" applyFont="1" applyBorder="1"/>
    <xf numFmtId="10" fontId="7" fillId="0" borderId="24" xfId="0" applyNumberFormat="1" applyFont="1" applyBorder="1"/>
    <xf numFmtId="0" fontId="9" fillId="9" borderId="2" xfId="0" applyFont="1" applyFill="1" applyBorder="1" applyAlignment="1">
      <alignment horizontal="center"/>
    </xf>
    <xf numFmtId="0" fontId="9" fillId="9" borderId="12" xfId="0" applyFont="1" applyFill="1" applyBorder="1" applyAlignment="1">
      <alignment horizontal="center" wrapText="1"/>
    </xf>
    <xf numFmtId="0" fontId="9" fillId="9" borderId="12" xfId="0" applyFont="1" applyFill="1" applyBorder="1" applyAlignment="1">
      <alignment horizontal="left" wrapText="1"/>
    </xf>
    <xf numFmtId="164" fontId="9" fillId="9" borderId="3" xfId="0" applyNumberFormat="1" applyFont="1" applyFill="1" applyBorder="1" applyAlignment="1">
      <alignment horizontal="center"/>
    </xf>
    <xf numFmtId="0" fontId="9" fillId="9" borderId="2" xfId="0" applyFont="1" applyFill="1" applyBorder="1"/>
    <xf numFmtId="0" fontId="9" fillId="9" borderId="12" xfId="0" applyFont="1" applyFill="1" applyBorder="1" applyAlignment="1">
      <alignment horizontal="center"/>
    </xf>
    <xf numFmtId="164" fontId="9" fillId="9" borderId="12" xfId="0" applyNumberFormat="1" applyFont="1" applyFill="1" applyBorder="1" applyAlignment="1">
      <alignment horizontal="center"/>
    </xf>
    <xf numFmtId="164" fontId="9" fillId="9" borderId="2" xfId="0" applyNumberFormat="1" applyFont="1" applyFill="1" applyBorder="1" applyAlignment="1">
      <alignment horizontal="center"/>
    </xf>
    <xf numFmtId="164" fontId="9" fillId="9" borderId="4" xfId="0" applyNumberFormat="1" applyFont="1" applyFill="1" applyBorder="1" applyAlignment="1">
      <alignment horizontal="center"/>
    </xf>
    <xf numFmtId="164" fontId="9" fillId="9" borderId="5" xfId="0" applyNumberFormat="1" applyFont="1" applyFill="1" applyBorder="1" applyAlignment="1">
      <alignment horizontal="center"/>
    </xf>
    <xf numFmtId="165" fontId="7" fillId="5" borderId="0" xfId="0" applyNumberFormat="1" applyFont="1" applyFill="1"/>
    <xf numFmtId="0" fontId="9" fillId="9" borderId="0" xfId="0" applyFont="1" applyFill="1" applyBorder="1" applyAlignment="1">
      <alignment horizontal="center"/>
    </xf>
    <xf numFmtId="0" fontId="9" fillId="9" borderId="4" xfId="0" applyFont="1" applyFill="1" applyBorder="1" applyAlignment="1">
      <alignment horizontal="center"/>
    </xf>
    <xf numFmtId="0" fontId="9" fillId="9" borderId="0" xfId="0" applyFont="1" applyFill="1"/>
    <xf numFmtId="0" fontId="9" fillId="9" borderId="5" xfId="0" applyFont="1" applyFill="1" applyBorder="1" applyAlignment="1">
      <alignment horizontal="center" wrapText="1"/>
    </xf>
    <xf numFmtId="0" fontId="9" fillId="9" borderId="18" xfId="0" applyFont="1" applyFill="1" applyBorder="1" applyAlignment="1">
      <alignment horizontal="center" wrapText="1"/>
    </xf>
    <xf numFmtId="3" fontId="0" fillId="0" borderId="0" xfId="0" applyNumberFormat="1" applyAlignment="1">
      <alignment vertical="top" wrapText="1"/>
    </xf>
    <xf numFmtId="3" fontId="7" fillId="0" borderId="0" xfId="0" applyNumberFormat="1" applyFont="1" applyAlignment="1">
      <alignment vertical="top" wrapText="1"/>
    </xf>
    <xf numFmtId="3" fontId="7" fillId="0" borderId="3" xfId="0" applyNumberFormat="1" applyFont="1" applyBorder="1" applyAlignment="1">
      <alignment vertical="top" wrapText="1"/>
    </xf>
    <xf numFmtId="165" fontId="9" fillId="0" borderId="0" xfId="0" applyNumberFormat="1" applyFont="1" applyFill="1" applyAlignment="1">
      <alignment vertical="top" wrapText="1"/>
    </xf>
    <xf numFmtId="165" fontId="9" fillId="0" borderId="0" xfId="0" applyNumberFormat="1" applyFont="1" applyAlignment="1">
      <alignment vertical="top" wrapText="1"/>
    </xf>
    <xf numFmtId="165" fontId="9" fillId="0" borderId="0" xfId="0" applyNumberFormat="1" applyFont="1" applyFill="1" applyBorder="1" applyAlignment="1">
      <alignment vertical="top" wrapText="1"/>
    </xf>
    <xf numFmtId="165" fontId="9" fillId="5" borderId="0" xfId="0" applyNumberFormat="1" applyFont="1" applyFill="1" applyBorder="1" applyAlignment="1">
      <alignment vertical="top" wrapText="1"/>
    </xf>
    <xf numFmtId="165" fontId="2" fillId="0" borderId="0" xfId="0" applyNumberFormat="1" applyFont="1" applyAlignment="1">
      <alignment vertical="top" wrapText="1"/>
    </xf>
    <xf numFmtId="165" fontId="7" fillId="0" borderId="0" xfId="0" applyNumberFormat="1" applyFont="1" applyAlignment="1">
      <alignment vertical="top" wrapText="1"/>
    </xf>
    <xf numFmtId="165" fontId="7" fillId="0" borderId="0" xfId="0" applyNumberFormat="1" applyFont="1" applyBorder="1" applyAlignment="1">
      <alignment vertical="top" wrapText="1"/>
    </xf>
    <xf numFmtId="165" fontId="7" fillId="0" borderId="3" xfId="0" applyNumberFormat="1" applyFont="1" applyBorder="1" applyAlignment="1">
      <alignment vertical="top" wrapText="1"/>
    </xf>
    <xf numFmtId="165" fontId="2" fillId="0" borderId="0" xfId="0" applyNumberFormat="1" applyFont="1" applyFill="1" applyAlignment="1">
      <alignment vertical="top" wrapText="1"/>
    </xf>
    <xf numFmtId="165" fontId="2" fillId="5" borderId="0" xfId="0" applyNumberFormat="1" applyFont="1" applyFill="1" applyAlignment="1">
      <alignment vertical="top" wrapText="1"/>
    </xf>
    <xf numFmtId="165" fontId="7" fillId="0" borderId="0" xfId="0" applyNumberFormat="1" applyFont="1" applyFill="1" applyAlignment="1">
      <alignment vertical="top" wrapText="1"/>
    </xf>
    <xf numFmtId="165" fontId="2" fillId="0" borderId="0" xfId="0" applyNumberFormat="1" applyFont="1" applyFill="1" applyBorder="1" applyAlignment="1">
      <alignment vertical="top" wrapText="1"/>
    </xf>
    <xf numFmtId="165" fontId="9" fillId="0" borderId="0" xfId="0" applyNumberFormat="1" applyFont="1" applyBorder="1" applyAlignment="1">
      <alignment vertical="top" wrapText="1"/>
    </xf>
    <xf numFmtId="165" fontId="2" fillId="0" borderId="3" xfId="0" applyNumberFormat="1" applyFont="1" applyBorder="1" applyAlignment="1">
      <alignment vertical="top" wrapText="1"/>
    </xf>
    <xf numFmtId="165" fontId="7" fillId="5" borderId="0" xfId="0" applyNumberFormat="1" applyFont="1" applyFill="1" applyAlignment="1">
      <alignment vertical="top" wrapText="1"/>
    </xf>
    <xf numFmtId="165" fontId="7" fillId="0" borderId="3" xfId="0" applyNumberFormat="1" applyFont="1" applyFill="1" applyBorder="1" applyAlignment="1">
      <alignment vertical="top" wrapText="1"/>
    </xf>
    <xf numFmtId="10" fontId="7" fillId="0" borderId="0" xfId="0" applyNumberFormat="1" applyFont="1" applyFill="1"/>
    <xf numFmtId="10" fontId="7" fillId="0" borderId="3" xfId="0" applyNumberFormat="1" applyFont="1" applyFill="1" applyBorder="1"/>
    <xf numFmtId="10" fontId="9" fillId="0" borderId="3" xfId="0" applyNumberFormat="1" applyFont="1" applyBorder="1"/>
    <xf numFmtId="6" fontId="0" fillId="0" borderId="0" xfId="0" applyNumberFormat="1" applyFill="1"/>
    <xf numFmtId="6" fontId="7" fillId="0" borderId="0" xfId="0" applyNumberFormat="1" applyFont="1" applyFill="1" applyAlignment="1">
      <alignment wrapText="1"/>
    </xf>
    <xf numFmtId="9" fontId="0" fillId="0" borderId="0" xfId="0" applyNumberFormat="1" applyFill="1"/>
    <xf numFmtId="0" fontId="2" fillId="0" borderId="0" xfId="0" applyFont="1" applyFill="1"/>
    <xf numFmtId="165" fontId="24" fillId="0" borderId="0" xfId="0" applyNumberFormat="1" applyFont="1" applyFill="1"/>
    <xf numFmtId="6" fontId="2" fillId="0" borderId="0" xfId="0" applyNumberFormat="1" applyFont="1" applyFill="1" applyAlignment="1">
      <alignment horizontal="right"/>
    </xf>
    <xf numFmtId="164" fontId="7" fillId="0" borderId="0" xfId="0" applyNumberFormat="1" applyFont="1" applyFill="1" applyAlignment="1">
      <alignment horizontal="right"/>
    </xf>
    <xf numFmtId="164" fontId="7" fillId="0" borderId="0" xfId="0" applyNumberFormat="1" applyFont="1" applyFill="1" applyAlignment="1">
      <alignment horizontal="right" vertical="top"/>
    </xf>
    <xf numFmtId="6" fontId="7" fillId="0" borderId="0" xfId="0" applyNumberFormat="1" applyFont="1" applyFill="1" applyAlignment="1">
      <alignment horizontal="right" vertical="top"/>
    </xf>
    <xf numFmtId="3" fontId="0" fillId="0" borderId="0" xfId="0" applyNumberFormat="1" applyFont="1" applyFill="1"/>
    <xf numFmtId="3" fontId="7" fillId="0" borderId="0" xfId="0" applyNumberFormat="1" applyFont="1" applyFill="1" applyAlignment="1">
      <alignment horizontal="right" vertical="top"/>
    </xf>
    <xf numFmtId="6" fontId="0" fillId="0" borderId="0" xfId="0" applyNumberFormat="1" applyFill="1" applyAlignment="1">
      <alignment horizontal="right"/>
    </xf>
    <xf numFmtId="164" fontId="7" fillId="0" borderId="0" xfId="0" applyNumberFormat="1" applyFont="1" applyFill="1" applyBorder="1"/>
    <xf numFmtId="165" fontId="2" fillId="0" borderId="0" xfId="0" applyNumberFormat="1" applyFont="1" applyFill="1"/>
    <xf numFmtId="166" fontId="7" fillId="0" borderId="0" xfId="0" applyNumberFormat="1" applyFont="1" applyFill="1"/>
    <xf numFmtId="0" fontId="0" fillId="0" borderId="0" xfId="0" applyFont="1" applyFill="1"/>
    <xf numFmtId="6" fontId="7" fillId="0" borderId="0" xfId="0" applyNumberFormat="1" applyFont="1" applyFill="1" applyBorder="1" applyAlignment="1">
      <alignment wrapText="1"/>
    </xf>
    <xf numFmtId="9" fontId="0" fillId="0" borderId="0" xfId="0" applyNumberFormat="1" applyFill="1" applyBorder="1"/>
    <xf numFmtId="9" fontId="7" fillId="0" borderId="0" xfId="0" applyNumberFormat="1" applyFont="1" applyFill="1" applyBorder="1"/>
    <xf numFmtId="10" fontId="0" fillId="0" borderId="0" xfId="0" applyNumberFormat="1" applyFill="1" applyAlignment="1">
      <alignment horizontal="right"/>
    </xf>
    <xf numFmtId="166" fontId="7" fillId="0" borderId="0" xfId="0" applyNumberFormat="1" applyFont="1" applyFill="1" applyBorder="1"/>
    <xf numFmtId="10" fontId="0" fillId="0" borderId="0" xfId="0" applyNumberFormat="1" applyFill="1" applyBorder="1" applyAlignment="1">
      <alignment horizontal="right"/>
    </xf>
    <xf numFmtId="165" fontId="0" fillId="0" borderId="0" xfId="0" applyNumberFormat="1" applyFill="1" applyAlignment="1">
      <alignment horizontal="right"/>
    </xf>
    <xf numFmtId="0" fontId="2" fillId="0" borderId="0" xfId="0" applyFont="1" applyFill="1" applyAlignment="1">
      <alignment wrapText="1"/>
    </xf>
    <xf numFmtId="6" fontId="9" fillId="8" borderId="2" xfId="0" applyNumberFormat="1" applyFont="1" applyFill="1" applyBorder="1" applyAlignment="1">
      <alignment horizontal="center" vertical="top"/>
    </xf>
    <xf numFmtId="6" fontId="9" fillId="8" borderId="2" xfId="0" applyNumberFormat="1" applyFont="1" applyFill="1" applyBorder="1"/>
    <xf numFmtId="6" fontId="9" fillId="8" borderId="12" xfId="0" applyNumberFormat="1" applyFont="1" applyFill="1" applyBorder="1" applyAlignment="1">
      <alignment horizontal="left" wrapText="1"/>
    </xf>
    <xf numFmtId="6" fontId="2" fillId="8" borderId="5" xfId="0" applyNumberFormat="1" applyFont="1" applyFill="1" applyBorder="1" applyAlignment="1">
      <alignment horizontal="center" vertical="top"/>
    </xf>
    <xf numFmtId="0" fontId="9" fillId="6" borderId="4" xfId="0" applyNumberFormat="1" applyFont="1" applyFill="1" applyBorder="1" applyAlignment="1">
      <alignment horizontal="center" vertical="top"/>
    </xf>
    <xf numFmtId="6" fontId="9" fillId="6" borderId="2" xfId="0" applyNumberFormat="1" applyFont="1" applyFill="1" applyBorder="1" applyAlignment="1">
      <alignment horizontal="center" vertical="top"/>
    </xf>
    <xf numFmtId="0" fontId="9" fillId="6" borderId="0" xfId="0" applyNumberFormat="1" applyFont="1" applyFill="1"/>
    <xf numFmtId="0" fontId="9" fillId="6" borderId="5" xfId="0" applyNumberFormat="1" applyFont="1" applyFill="1" applyBorder="1" applyAlignment="1">
      <alignment horizontal="center" wrapText="1"/>
    </xf>
    <xf numFmtId="6" fontId="9" fillId="6" borderId="18" xfId="0" applyNumberFormat="1" applyFont="1" applyFill="1" applyBorder="1" applyAlignment="1">
      <alignment horizontal="center" wrapText="1"/>
    </xf>
    <xf numFmtId="171" fontId="0" fillId="0" borderId="0" xfId="0" applyNumberFormat="1"/>
    <xf numFmtId="38" fontId="0" fillId="0" borderId="0" xfId="0" applyNumberFormat="1"/>
    <xf numFmtId="38" fontId="0" fillId="0" borderId="0" xfId="0" applyNumberFormat="1" applyFill="1"/>
    <xf numFmtId="0" fontId="2" fillId="4" borderId="0" xfId="0" applyFont="1" applyFill="1" applyBorder="1" applyAlignment="1">
      <alignment horizontal="left"/>
    </xf>
    <xf numFmtId="0" fontId="2" fillId="4" borderId="0" xfId="0" applyFont="1" applyFill="1" applyBorder="1"/>
    <xf numFmtId="0" fontId="2" fillId="4" borderId="1" xfId="0" applyFont="1" applyFill="1" applyBorder="1"/>
    <xf numFmtId="0" fontId="9" fillId="6" borderId="19" xfId="0" applyFont="1" applyFill="1" applyBorder="1" applyAlignment="1">
      <alignment horizontal="center"/>
    </xf>
    <xf numFmtId="0" fontId="9" fillId="6" borderId="19" xfId="0" applyFont="1" applyFill="1" applyBorder="1" applyAlignment="1">
      <alignment horizontal="left"/>
    </xf>
    <xf numFmtId="0" fontId="3" fillId="6" borderId="9" xfId="0" applyFont="1" applyFill="1" applyBorder="1" applyAlignment="1">
      <alignment horizontal="center"/>
    </xf>
    <xf numFmtId="166" fontId="3" fillId="6" borderId="10" xfId="0" applyNumberFormat="1" applyFont="1" applyFill="1" applyBorder="1" applyAlignment="1">
      <alignment horizontal="center" vertical="center" wrapText="1"/>
    </xf>
    <xf numFmtId="0" fontId="0" fillId="6" borderId="4" xfId="0" applyFill="1" applyBorder="1" applyAlignment="1">
      <alignment horizontal="center" vertical="center"/>
    </xf>
    <xf numFmtId="164" fontId="9" fillId="4" borderId="2" xfId="0" applyNumberFormat="1" applyFont="1" applyFill="1" applyBorder="1" applyAlignment="1">
      <alignment horizontal="center"/>
    </xf>
    <xf numFmtId="164" fontId="9" fillId="4" borderId="4" xfId="0" applyNumberFormat="1" applyFont="1" applyFill="1" applyBorder="1" applyAlignment="1">
      <alignment horizontal="center"/>
    </xf>
    <xf numFmtId="0" fontId="9" fillId="4" borderId="2" xfId="0" applyFont="1" applyFill="1" applyBorder="1" applyAlignment="1">
      <alignment horizontal="center"/>
    </xf>
    <xf numFmtId="0" fontId="9" fillId="4" borderId="2" xfId="0" applyFont="1" applyFill="1" applyBorder="1"/>
    <xf numFmtId="0" fontId="7" fillId="4" borderId="3" xfId="0" applyFont="1" applyFill="1" applyBorder="1"/>
    <xf numFmtId="164" fontId="9" fillId="4" borderId="12" xfId="0" applyNumberFormat="1" applyFont="1" applyFill="1" applyBorder="1" applyAlignment="1">
      <alignment horizontal="center"/>
    </xf>
    <xf numFmtId="164" fontId="9" fillId="4" borderId="5" xfId="0" applyNumberFormat="1" applyFont="1" applyFill="1" applyBorder="1" applyAlignment="1">
      <alignment horizontal="center"/>
    </xf>
    <xf numFmtId="0" fontId="9" fillId="4" borderId="12" xfId="0" applyFont="1" applyFill="1" applyBorder="1" applyAlignment="1">
      <alignment horizontal="left" wrapText="1"/>
    </xf>
    <xf numFmtId="0" fontId="9" fillId="4" borderId="12" xfId="0" applyFont="1" applyFill="1" applyBorder="1" applyAlignment="1">
      <alignment horizontal="center"/>
    </xf>
    <xf numFmtId="0" fontId="9" fillId="4" borderId="18" xfId="0" applyFont="1" applyFill="1" applyBorder="1" applyAlignment="1">
      <alignment horizontal="center"/>
    </xf>
    <xf numFmtId="165" fontId="7" fillId="0" borderId="24" xfId="0" applyNumberFormat="1" applyFont="1" applyBorder="1"/>
    <xf numFmtId="1" fontId="7" fillId="5" borderId="24" xfId="0" applyNumberFormat="1" applyFont="1" applyFill="1" applyBorder="1"/>
    <xf numFmtId="165" fontId="7" fillId="5" borderId="24" xfId="0" applyNumberFormat="1" applyFont="1" applyFill="1" applyBorder="1"/>
    <xf numFmtId="10" fontId="7" fillId="5" borderId="24" xfId="0" applyNumberFormat="1" applyFont="1" applyFill="1" applyBorder="1"/>
    <xf numFmtId="10" fontId="7" fillId="0" borderId="22" xfId="0" applyNumberFormat="1" applyFont="1" applyBorder="1"/>
    <xf numFmtId="6" fontId="7" fillId="0" borderId="22" xfId="0" applyNumberFormat="1" applyFont="1" applyBorder="1"/>
    <xf numFmtId="164" fontId="7" fillId="0" borderId="22" xfId="0" applyNumberFormat="1" applyFont="1" applyBorder="1"/>
    <xf numFmtId="6" fontId="7" fillId="10" borderId="0" xfId="0" applyNumberFormat="1" applyFont="1" applyFill="1"/>
    <xf numFmtId="165" fontId="9" fillId="4" borderId="3" xfId="0" applyNumberFormat="1" applyFont="1" applyFill="1" applyBorder="1" applyAlignment="1">
      <alignment horizontal="center"/>
    </xf>
    <xf numFmtId="165" fontId="9" fillId="4" borderId="4" xfId="0" applyNumberFormat="1" applyFont="1" applyFill="1" applyBorder="1" applyAlignment="1">
      <alignment horizontal="center"/>
    </xf>
    <xf numFmtId="165" fontId="7" fillId="0" borderId="0" xfId="0" applyNumberFormat="1" applyFont="1" applyFill="1" applyBorder="1"/>
    <xf numFmtId="165" fontId="10" fillId="0" borderId="0" xfId="0" applyNumberFormat="1" applyFont="1" applyBorder="1"/>
    <xf numFmtId="165" fontId="9" fillId="0" borderId="24" xfId="0" applyNumberFormat="1" applyFont="1" applyFill="1" applyBorder="1"/>
    <xf numFmtId="165" fontId="9" fillId="5" borderId="0" xfId="0" applyNumberFormat="1" applyFont="1" applyFill="1" applyBorder="1"/>
    <xf numFmtId="0" fontId="16" fillId="0" borderId="0" xfId="0" applyFont="1" applyFill="1" applyBorder="1"/>
    <xf numFmtId="0" fontId="0" fillId="0" borderId="0" xfId="0" applyFont="1" applyFill="1" applyBorder="1" applyAlignment="1">
      <alignment horizontal="left" vertical="top"/>
    </xf>
    <xf numFmtId="0" fontId="17" fillId="0" borderId="0" xfId="0" applyFont="1" applyFill="1" applyBorder="1"/>
    <xf numFmtId="0" fontId="26" fillId="0" borderId="0" xfId="0" applyFont="1"/>
    <xf numFmtId="0" fontId="27" fillId="0" borderId="0" xfId="0" applyFont="1" applyAlignment="1">
      <alignment horizontal="left" indent="2"/>
    </xf>
    <xf numFmtId="0" fontId="26" fillId="0" borderId="0" xfId="0" applyFont="1" applyAlignment="1">
      <alignment horizontal="left"/>
    </xf>
    <xf numFmtId="0" fontId="25" fillId="0" borderId="0" xfId="0" applyFont="1"/>
    <xf numFmtId="165" fontId="24" fillId="0" borderId="19" xfId="0" applyNumberFormat="1" applyFont="1" applyFill="1" applyBorder="1" applyAlignment="1">
      <alignment horizontal="right" vertical="center" wrapText="1"/>
    </xf>
    <xf numFmtId="1" fontId="9" fillId="0" borderId="24" xfId="0" applyNumberFormat="1" applyFont="1" applyBorder="1"/>
    <xf numFmtId="165" fontId="9" fillId="0" borderId="24" xfId="0" applyNumberFormat="1" applyFont="1" applyBorder="1"/>
    <xf numFmtId="0" fontId="9" fillId="0" borderId="0" xfId="0" applyFont="1" applyFill="1" applyBorder="1" applyAlignment="1">
      <alignment horizontal="left" vertical="top"/>
    </xf>
    <xf numFmtId="0" fontId="2" fillId="0" borderId="0" xfId="0" applyFont="1" applyFill="1" applyBorder="1" applyAlignment="1">
      <alignment horizontal="left" vertical="top"/>
    </xf>
    <xf numFmtId="10" fontId="7" fillId="4" borderId="0" xfId="0" applyNumberFormat="1" applyFont="1" applyFill="1"/>
    <xf numFmtId="10" fontId="7" fillId="4" borderId="3" xfId="0" applyNumberFormat="1" applyFont="1" applyFill="1" applyBorder="1"/>
    <xf numFmtId="8" fontId="9" fillId="0" borderId="0" xfId="0" applyNumberFormat="1" applyFont="1" applyFill="1"/>
    <xf numFmtId="0" fontId="2" fillId="4" borderId="3" xfId="0" applyFont="1" applyFill="1" applyBorder="1"/>
    <xf numFmtId="38" fontId="0" fillId="11" borderId="0" xfId="0" applyNumberFormat="1" applyFill="1"/>
    <xf numFmtId="164" fontId="0" fillId="11" borderId="0" xfId="0" applyNumberFormat="1" applyFill="1"/>
    <xf numFmtId="6" fontId="7" fillId="11" borderId="0" xfId="0" applyNumberFormat="1" applyFont="1" applyFill="1"/>
    <xf numFmtId="164" fontId="7" fillId="11" borderId="0" xfId="0" applyNumberFormat="1" applyFont="1" applyFill="1"/>
    <xf numFmtId="3" fontId="7" fillId="11" borderId="0" xfId="0" applyNumberFormat="1" applyFont="1" applyFill="1"/>
    <xf numFmtId="165" fontId="7" fillId="11" borderId="0" xfId="0" applyNumberFormat="1" applyFont="1" applyFill="1"/>
    <xf numFmtId="6" fontId="2" fillId="11" borderId="0" xfId="0" applyNumberFormat="1" applyFont="1" applyFill="1"/>
    <xf numFmtId="6" fontId="2" fillId="11" borderId="0" xfId="0" applyNumberFormat="1" applyFont="1" applyFill="1" applyBorder="1"/>
    <xf numFmtId="6" fontId="7" fillId="11" borderId="0" xfId="0" applyNumberFormat="1" applyFont="1" applyFill="1" applyBorder="1"/>
    <xf numFmtId="6" fontId="0" fillId="11" borderId="0" xfId="0" applyNumberFormat="1" applyFill="1"/>
    <xf numFmtId="6" fontId="7" fillId="11" borderId="3" xfId="0" applyNumberFormat="1" applyFont="1" applyFill="1" applyBorder="1"/>
    <xf numFmtId="164" fontId="7" fillId="11" borderId="3" xfId="0" applyNumberFormat="1" applyFont="1" applyFill="1" applyBorder="1"/>
    <xf numFmtId="3" fontId="7" fillId="11" borderId="3" xfId="0" applyNumberFormat="1" applyFont="1" applyFill="1" applyBorder="1"/>
    <xf numFmtId="165" fontId="7" fillId="11" borderId="3" xfId="0" applyNumberFormat="1" applyFont="1" applyFill="1" applyBorder="1"/>
    <xf numFmtId="165" fontId="2" fillId="5" borderId="0" xfId="0" applyNumberFormat="1" applyFont="1" applyFill="1"/>
    <xf numFmtId="165" fontId="2" fillId="11" borderId="0" xfId="0" applyNumberFormat="1" applyFont="1" applyFill="1"/>
    <xf numFmtId="166" fontId="3" fillId="6" borderId="13" xfId="0" applyNumberFormat="1" applyFont="1" applyFill="1" applyBorder="1" applyAlignment="1">
      <alignment horizontal="center" vertical="center" wrapText="1"/>
    </xf>
    <xf numFmtId="0" fontId="0" fillId="6" borderId="1" xfId="0" applyFill="1" applyBorder="1" applyAlignment="1">
      <alignment horizontal="center" vertical="center"/>
    </xf>
    <xf numFmtId="165" fontId="9" fillId="11" borderId="0" xfId="0" applyNumberFormat="1" applyFont="1" applyFill="1" applyBorder="1"/>
    <xf numFmtId="0" fontId="0" fillId="6" borderId="4" xfId="0" applyFill="1" applyBorder="1" applyAlignment="1">
      <alignment horizontal="center" vertical="center"/>
    </xf>
    <xf numFmtId="0" fontId="2" fillId="0" borderId="0" xfId="0" applyFont="1" applyAlignment="1">
      <alignment vertical="center" wrapText="1"/>
    </xf>
    <xf numFmtId="0" fontId="3" fillId="6" borderId="12" xfId="0" applyFont="1" applyFill="1" applyBorder="1" applyAlignment="1">
      <alignment horizontal="center" wrapText="1"/>
    </xf>
    <xf numFmtId="0" fontId="3" fillId="6" borderId="9" xfId="0" applyFont="1" applyFill="1" applyBorder="1" applyAlignment="1">
      <alignment horizontal="center"/>
    </xf>
    <xf numFmtId="0" fontId="3" fillId="8" borderId="13" xfId="0" applyFont="1" applyFill="1" applyBorder="1" applyAlignment="1">
      <alignment horizontal="center" wrapText="1"/>
    </xf>
    <xf numFmtId="0" fontId="3" fillId="8" borderId="14" xfId="0" applyFont="1" applyFill="1" applyBorder="1" applyAlignment="1">
      <alignment horizontal="center" wrapText="1"/>
    </xf>
    <xf numFmtId="166" fontId="3" fillId="8" borderId="10" xfId="0" applyNumberFormat="1" applyFont="1" applyFill="1" applyBorder="1" applyAlignment="1">
      <alignment horizontal="center" vertical="center" wrapText="1"/>
    </xf>
    <xf numFmtId="166" fontId="3" fillId="8" borderId="4" xfId="0" applyNumberFormat="1" applyFont="1" applyFill="1" applyBorder="1" applyAlignment="1">
      <alignment horizontal="center" vertical="center" wrapText="1"/>
    </xf>
    <xf numFmtId="166" fontId="3" fillId="6" borderId="10" xfId="0" applyNumberFormat="1" applyFont="1" applyFill="1" applyBorder="1" applyAlignment="1">
      <alignment horizontal="center" vertical="center" wrapText="1"/>
    </xf>
    <xf numFmtId="0" fontId="0" fillId="6" borderId="4" xfId="0" applyFill="1" applyBorder="1" applyAlignment="1">
      <alignment horizontal="center" vertical="center"/>
    </xf>
    <xf numFmtId="0" fontId="3" fillId="8" borderId="12" xfId="0" applyFont="1" applyFill="1" applyBorder="1" applyAlignment="1">
      <alignment horizontal="center"/>
    </xf>
    <xf numFmtId="0" fontId="3" fillId="8" borderId="9" xfId="0" applyFont="1" applyFill="1" applyBorder="1" applyAlignment="1">
      <alignment horizontal="center"/>
    </xf>
    <xf numFmtId="0" fontId="3" fillId="6" borderId="12" xfId="0" applyFont="1" applyFill="1" applyBorder="1" applyAlignment="1">
      <alignment horizontal="center"/>
    </xf>
    <xf numFmtId="0" fontId="3" fillId="8" borderId="13" xfId="0" applyFont="1" applyFill="1" applyBorder="1" applyAlignment="1">
      <alignment horizontal="center"/>
    </xf>
    <xf numFmtId="0" fontId="3" fillId="8" borderId="14" xfId="0" applyFont="1" applyFill="1" applyBorder="1" applyAlignment="1">
      <alignment horizontal="center"/>
    </xf>
    <xf numFmtId="0" fontId="3" fillId="8" borderId="15" xfId="0" applyFont="1" applyFill="1" applyBorder="1" applyAlignment="1">
      <alignment horizontal="center"/>
    </xf>
    <xf numFmtId="0" fontId="3" fillId="8" borderId="16" xfId="0" applyFont="1" applyFill="1" applyBorder="1" applyAlignment="1">
      <alignment horizontal="center"/>
    </xf>
    <xf numFmtId="0" fontId="3" fillId="6" borderId="15" xfId="0" applyFont="1" applyFill="1" applyBorder="1" applyAlignment="1">
      <alignment horizontal="center"/>
    </xf>
    <xf numFmtId="0" fontId="3" fillId="6" borderId="16" xfId="0" applyFont="1" applyFill="1" applyBorder="1" applyAlignment="1">
      <alignment horizontal="center"/>
    </xf>
    <xf numFmtId="0" fontId="9" fillId="6" borderId="12" xfId="0" applyFont="1" applyFill="1" applyBorder="1" applyAlignment="1">
      <alignment horizontal="center"/>
    </xf>
    <xf numFmtId="0" fontId="0" fillId="6" borderId="9" xfId="0" applyFill="1" applyBorder="1" applyAlignment="1"/>
    <xf numFmtId="0" fontId="9" fillId="8" borderId="15" xfId="0" applyFont="1" applyFill="1" applyBorder="1" applyAlignment="1">
      <alignment horizontal="center"/>
    </xf>
    <xf numFmtId="0" fontId="9" fillId="8" borderId="16" xfId="0" applyFont="1" applyFill="1" applyBorder="1" applyAlignment="1">
      <alignment horizontal="center"/>
    </xf>
    <xf numFmtId="0" fontId="9" fillId="6" borderId="15" xfId="0" applyFont="1" applyFill="1" applyBorder="1" applyAlignment="1">
      <alignment horizontal="center"/>
    </xf>
    <xf numFmtId="0" fontId="9" fillId="6" borderId="16" xfId="0" applyFont="1" applyFill="1" applyBorder="1" applyAlignment="1">
      <alignment horizontal="center"/>
    </xf>
    <xf numFmtId="6" fontId="9" fillId="8" borderId="12" xfId="0" applyNumberFormat="1" applyFont="1" applyFill="1" applyBorder="1" applyAlignment="1">
      <alignment horizontal="center"/>
    </xf>
    <xf numFmtId="6" fontId="9" fillId="8" borderId="18" xfId="0" applyNumberFormat="1" applyFont="1" applyFill="1" applyBorder="1" applyAlignment="1">
      <alignment horizontal="center"/>
    </xf>
    <xf numFmtId="6" fontId="9" fillId="6" borderId="10" xfId="0" applyNumberFormat="1" applyFont="1" applyFill="1" applyBorder="1" applyAlignment="1">
      <alignment horizontal="center" vertical="center" wrapText="1"/>
    </xf>
    <xf numFmtId="0" fontId="7" fillId="6" borderId="4" xfId="0" applyFont="1" applyFill="1" applyBorder="1" applyAlignment="1">
      <alignment horizontal="center" vertical="center"/>
    </xf>
    <xf numFmtId="6" fontId="9" fillId="2" borderId="12" xfId="0" applyNumberFormat="1" applyFont="1" applyFill="1" applyBorder="1" applyAlignment="1">
      <alignment horizontal="center"/>
    </xf>
    <xf numFmtId="6" fontId="9" fillId="2" borderId="9" xfId="0" applyNumberFormat="1" applyFont="1" applyFill="1" applyBorder="1" applyAlignment="1">
      <alignment horizontal="center"/>
    </xf>
    <xf numFmtId="0" fontId="9" fillId="3" borderId="12" xfId="0" applyFont="1" applyFill="1" applyBorder="1" applyAlignment="1">
      <alignment horizontal="center"/>
    </xf>
    <xf numFmtId="0" fontId="9" fillId="3" borderId="9" xfId="0" applyFont="1" applyFill="1" applyBorder="1" applyAlignment="1">
      <alignment horizontal="center"/>
    </xf>
    <xf numFmtId="9" fontId="9" fillId="8" borderId="5" xfId="0" applyNumberFormat="1" applyFont="1" applyFill="1" applyBorder="1" applyAlignment="1">
      <alignment horizontal="center"/>
    </xf>
    <xf numFmtId="0" fontId="7" fillId="6" borderId="0" xfId="0" applyFont="1" applyFill="1" applyBorder="1"/>
    <xf numFmtId="165" fontId="2" fillId="4" borderId="5" xfId="0" applyNumberFormat="1" applyFont="1" applyFill="1" applyBorder="1"/>
    <xf numFmtId="165" fontId="2" fillId="4" borderId="7" xfId="0" applyNumberFormat="1" applyFont="1" applyFill="1" applyBorder="1"/>
    <xf numFmtId="0" fontId="9" fillId="0" borderId="4" xfId="0" applyFont="1" applyFill="1" applyBorder="1" applyAlignment="1">
      <alignment horizontal="center"/>
    </xf>
    <xf numFmtId="0" fontId="9" fillId="0" borderId="4" xfId="0" applyFont="1" applyFill="1" applyBorder="1" applyAlignment="1">
      <alignment horizontal="center" wrapText="1"/>
    </xf>
    <xf numFmtId="0" fontId="9" fillId="0" borderId="0" xfId="0" applyFont="1" applyFill="1" applyBorder="1" applyAlignment="1">
      <alignment horizontal="center" wrapText="1"/>
    </xf>
    <xf numFmtId="0" fontId="9" fillId="0" borderId="2" xfId="0" applyFont="1" applyFill="1" applyBorder="1" applyAlignment="1">
      <alignment horizontal="center" wrapText="1"/>
    </xf>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3" xfId="0" applyFont="1" applyFill="1" applyBorder="1" applyAlignment="1">
      <alignment horizontal="center" wrapText="1"/>
    </xf>
    <xf numFmtId="0" fontId="9" fillId="0" borderId="12" xfId="0" applyFont="1" applyFill="1" applyBorder="1" applyAlignment="1">
      <alignment horizontal="center" wrapText="1"/>
    </xf>
    <xf numFmtId="0" fontId="9" fillId="0" borderId="5" xfId="0" applyFont="1" applyFill="1" applyBorder="1" applyAlignment="1">
      <alignment horizontal="center" wrapText="1"/>
    </xf>
    <xf numFmtId="0" fontId="9" fillId="0" borderId="0" xfId="0" applyFont="1" applyAlignment="1">
      <alignment wrapText="1"/>
    </xf>
    <xf numFmtId="0" fontId="9" fillId="0" borderId="3" xfId="0" applyFont="1" applyBorder="1" applyAlignment="1">
      <alignment wrapText="1"/>
    </xf>
    <xf numFmtId="0" fontId="9" fillId="0" borderId="3" xfId="0" applyFont="1" applyBorder="1" applyAlignment="1">
      <alignment horizontal="center"/>
    </xf>
    <xf numFmtId="0" fontId="9" fillId="0" borderId="3" xfId="0" applyFont="1" applyBorder="1" applyAlignment="1">
      <alignment horizontal="center" wrapText="1"/>
    </xf>
    <xf numFmtId="0" fontId="9" fillId="0" borderId="7" xfId="0" applyFont="1" applyFill="1" applyBorder="1" applyAlignment="1">
      <alignment horizontal="center" wrapText="1"/>
    </xf>
    <xf numFmtId="0" fontId="9" fillId="0" borderId="5" xfId="0" applyFont="1" applyBorder="1" applyAlignment="1">
      <alignment wrapText="1"/>
    </xf>
    <xf numFmtId="0" fontId="9" fillId="0" borderId="5" xfId="0" applyFont="1" applyFill="1" applyBorder="1" applyAlignment="1">
      <alignment wrapText="1"/>
    </xf>
    <xf numFmtId="1" fontId="9" fillId="0" borderId="5" xfId="0" applyNumberFormat="1" applyFont="1" applyFill="1" applyBorder="1" applyAlignment="1">
      <alignment wrapText="1"/>
    </xf>
    <xf numFmtId="2" fontId="9" fillId="0" borderId="12" xfId="0" applyNumberFormat="1" applyFont="1" applyBorder="1" applyAlignment="1">
      <alignment wrapText="1"/>
    </xf>
    <xf numFmtId="0" fontId="3" fillId="6" borderId="12" xfId="0" applyFont="1" applyFill="1" applyBorder="1" applyAlignment="1">
      <alignment horizontal="center" vertical="center" wrapText="1"/>
    </xf>
    <xf numFmtId="165" fontId="9" fillId="0" borderId="18" xfId="0" applyNumberFormat="1" applyFont="1" applyBorder="1"/>
    <xf numFmtId="10" fontId="0" fillId="0" borderId="9" xfId="0" applyNumberFormat="1" applyFill="1" applyBorder="1"/>
    <xf numFmtId="3" fontId="9" fillId="5" borderId="18" xfId="0" applyNumberFormat="1" applyFont="1" applyFill="1" applyBorder="1" applyAlignment="1"/>
    <xf numFmtId="3" fontId="9" fillId="0" borderId="18" xfId="0" applyNumberFormat="1" applyFont="1" applyFill="1" applyBorder="1" applyAlignment="1"/>
    <xf numFmtId="3" fontId="0" fillId="0" borderId="5" xfId="0" applyNumberFormat="1" applyFill="1" applyBorder="1"/>
    <xf numFmtId="172" fontId="0" fillId="0" borderId="7" xfId="0" applyNumberFormat="1" applyFill="1" applyBorder="1"/>
    <xf numFmtId="165" fontId="9" fillId="0" borderId="4" xfId="0" applyNumberFormat="1" applyFont="1" applyBorder="1"/>
    <xf numFmtId="165" fontId="0" fillId="0" borderId="4" xfId="0" applyNumberFormat="1" applyFill="1" applyBorder="1"/>
    <xf numFmtId="10" fontId="0" fillId="0" borderId="4" xfId="0" applyNumberFormat="1" applyFill="1" applyBorder="1"/>
    <xf numFmtId="172" fontId="0" fillId="5" borderId="9" xfId="0" applyNumberFormat="1" applyFill="1" applyBorder="1"/>
    <xf numFmtId="3" fontId="9" fillId="5" borderId="5" xfId="0" applyNumberFormat="1" applyFont="1" applyFill="1" applyBorder="1" applyAlignment="1"/>
    <xf numFmtId="165" fontId="0" fillId="0" borderId="5" xfId="0" applyNumberFormat="1" applyFill="1" applyBorder="1"/>
    <xf numFmtId="172" fontId="0" fillId="0" borderId="9" xfId="0" applyNumberFormat="1" applyFill="1" applyBorder="1"/>
    <xf numFmtId="3" fontId="9" fillId="0" borderId="5" xfId="0" applyNumberFormat="1" applyFont="1" applyFill="1" applyBorder="1" applyAlignment="1"/>
    <xf numFmtId="165" fontId="0" fillId="12" borderId="5" xfId="0" applyNumberFormat="1" applyFill="1" applyBorder="1"/>
    <xf numFmtId="3" fontId="0" fillId="12" borderId="5" xfId="0" applyNumberFormat="1" applyFill="1" applyBorder="1"/>
    <xf numFmtId="10" fontId="0" fillId="12" borderId="9" xfId="0" applyNumberFormat="1" applyFill="1" applyBorder="1"/>
  </cellXfs>
  <cellStyles count="6">
    <cellStyle name="Comma" xfId="1" builtinId="3"/>
    <cellStyle name="Currency" xfId="2" builtinId="4"/>
    <cellStyle name="Normal" xfId="0" builtinId="0"/>
    <cellStyle name="Normal_DC-Local-Budget-Revised" xfId="4"/>
    <cellStyle name="Normal_FY04 Local Budget - Revised" xfId="5"/>
    <cellStyle name="Percent" xfId="3" builtinId="5"/>
  </cellStyles>
  <dxfs count="77">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border>
        <left style="medium">
          <color indexed="64"/>
        </left>
        <right style="medium">
          <color indexed="64"/>
        </right>
        <top style="medium">
          <color indexed="64"/>
        </top>
        <bottom style="medium">
          <color indexed="64"/>
        </bottom>
        <vertical style="medium">
          <color indexed="64"/>
        </vertical>
        <horizontal style="medium">
          <color indexed="64"/>
        </horizontal>
      </border>
    </dxf>
    <dxf>
      <border>
        <bottom style="medium">
          <color indexed="64"/>
        </bottom>
      </border>
    </dxf>
    <dxf>
      <border>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bottom style="medium">
          <color indexed="64"/>
        </bottom>
      </border>
    </dxf>
    <dxf>
      <border>
        <right style="medium">
          <color indexed="64"/>
        </right>
      </border>
    </dxf>
    <dxf>
      <border>
        <left style="medium">
          <color indexed="64"/>
        </left>
      </border>
    </dxf>
    <dxf>
      <border>
        <top style="medium">
          <color indexed="64"/>
        </top>
        <bottom style="medium">
          <color indexed="64"/>
        </bottom>
        <horizontal style="medium">
          <color indexed="64"/>
        </horizontal>
      </border>
    </dxf>
    <dxf>
      <border>
        <bottom style="medium">
          <color indexed="64"/>
        </bottom>
      </border>
    </dxf>
    <dxf>
      <border>
        <right style="medium">
          <color indexed="64"/>
        </right>
      </border>
    </dxf>
    <dxf>
      <border>
        <top style="medium">
          <color indexed="64"/>
        </top>
      </border>
    </dxf>
    <dxf>
      <alignment vertical="center" readingOrder="0"/>
    </dxf>
    <dxf>
      <border>
        <left style="medium">
          <color indexed="64"/>
        </left>
        <right style="medium">
          <color indexed="64"/>
        </right>
        <vertical style="medium">
          <color indexed="64"/>
        </vertical>
      </border>
    </dxf>
    <dxf>
      <border>
        <bottom style="medium">
          <color indexed="64"/>
        </bottom>
      </border>
    </dxf>
    <dxf>
      <border>
        <top style="medium">
          <color indexed="64"/>
        </top>
      </border>
    </dxf>
    <dxf>
      <border>
        <left style="medium">
          <color indexed="64"/>
        </left>
      </border>
    </dxf>
    <dxf>
      <font>
        <b/>
      </font>
    </dxf>
    <dxf>
      <font>
        <b/>
      </font>
    </dxf>
    <dxf>
      <border>
        <top style="medium">
          <color indexed="64"/>
        </top>
      </border>
    </dxf>
    <dxf>
      <border>
        <left style="medium">
          <color auto="1"/>
        </left>
        <right style="medium">
          <color auto="1"/>
        </right>
        <vertical style="medium">
          <color auto="1"/>
        </vertical>
      </border>
    </dxf>
    <dxf>
      <border>
        <bottom style="medium">
          <color auto="1"/>
        </bottom>
      </border>
    </dxf>
    <dxf>
      <border>
        <right style="medium">
          <color auto="1"/>
        </right>
      </border>
    </dxf>
    <dxf>
      <border>
        <left style="medium">
          <color auto="1"/>
        </left>
      </border>
    </dxf>
    <dxf>
      <font>
        <b/>
      </font>
    </dxf>
    <dxf>
      <font>
        <b/>
      </font>
    </dxf>
    <dxf>
      <font>
        <b/>
      </font>
    </dxf>
    <dxf>
      <border>
        <left style="medium">
          <color indexed="64"/>
        </left>
        <right style="medium">
          <color indexed="64"/>
        </right>
        <top style="medium">
          <color indexed="64"/>
        </top>
        <bottom style="medium">
          <color indexed="64"/>
        </bottom>
      </border>
    </dxf>
    <dxf>
      <border>
        <right style="medium">
          <color indexed="64"/>
        </right>
      </border>
    </dxf>
    <dxf>
      <border>
        <bottom style="medium">
          <color indexed="64"/>
        </bottom>
      </border>
    </dxf>
    <dxf>
      <border>
        <bottom style="medium">
          <color indexed="64"/>
        </bottom>
      </border>
    </dxf>
    <dxf>
      <font>
        <b/>
      </font>
    </dxf>
    <dxf>
      <border>
        <left style="medium">
          <color indexed="64"/>
        </left>
        <right style="medium">
          <color indexed="64"/>
        </right>
        <top/>
        <bottom style="medium">
          <color indexed="64"/>
        </bottom>
      </border>
    </dxf>
    <dxf>
      <border>
        <bottom style="medium">
          <color indexed="64"/>
        </bottom>
      </border>
    </dxf>
    <dxf>
      <font>
        <b/>
      </font>
    </dxf>
    <dxf>
      <border>
        <bottom style="medium">
          <color indexed="64"/>
        </bottom>
      </border>
    </dxf>
    <dxf>
      <font>
        <b/>
      </font>
    </dxf>
    <dxf>
      <border>
        <bottom style="medium">
          <color indexed="64"/>
        </bottom>
      </border>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top style="medium">
          <color indexed="64"/>
        </top>
        <bottom style="medium">
          <color indexed="64"/>
        </bottom>
      </border>
    </dxf>
    <dxf>
      <border>
        <left style="medium">
          <color indexed="64"/>
        </left>
      </border>
    </dxf>
    <dxf>
      <border>
        <bottom style="medium">
          <color indexed="64"/>
        </bottom>
      </border>
    </dxf>
    <dxf>
      <border>
        <bottom style="medium">
          <color indexed="64"/>
        </bottom>
      </border>
    </dxf>
    <dxf>
      <font>
        <b/>
      </font>
    </dxf>
    <dxf>
      <font>
        <b/>
      </font>
    </dxf>
    <dxf>
      <font>
        <b/>
      </font>
    </dxf>
    <dxf>
      <border>
        <left/>
        <right/>
        <top style="medium">
          <color indexed="64"/>
        </top>
        <bottom style="medium">
          <color indexed="64"/>
        </bottom>
      </border>
    </dxf>
    <dxf>
      <font>
        <b/>
      </font>
    </dxf>
    <dxf>
      <border>
        <left style="medium">
          <color indexed="64"/>
        </left>
        <right style="medium">
          <color indexed="64"/>
        </right>
        <top/>
        <bottom style="medium">
          <color indexed="64"/>
        </bottom>
      </border>
    </dxf>
    <dxf>
      <border>
        <left/>
        <right/>
        <top/>
        <bottom style="medium">
          <color indexed="64"/>
        </bottom>
      </border>
    </dxf>
    <dxf>
      <font>
        <b/>
      </font>
    </dxf>
    <dxf>
      <border>
        <left style="medium">
          <color indexed="64"/>
        </left>
        <right/>
        <top/>
        <bottom style="medium">
          <color indexed="64"/>
        </bottom>
      </border>
    </dxf>
    <dxf>
      <border>
        <left style="medium">
          <color indexed="64"/>
        </left>
        <right/>
        <top/>
        <bottom style="medium">
          <color indexed="64"/>
        </bottom>
      </border>
    </dxf>
    <dxf>
      <font>
        <b/>
      </font>
    </dxf>
    <dxf>
      <font>
        <b/>
      </font>
    </dxf>
    <dxf>
      <font>
        <b/>
      </font>
    </dxf>
    <dxf>
      <font>
        <b/>
      </font>
    </dxf>
    <dxf>
      <border>
        <left style="medium">
          <color indexed="64"/>
        </left>
        <right style="medium">
          <color indexed="64"/>
        </right>
        <top/>
        <bottom style="medium">
          <color indexed="64"/>
        </bottom>
      </border>
    </dxf>
    <dxf>
      <border>
        <left style="medium">
          <color indexed="64"/>
        </left>
        <right style="medium">
          <color indexed="64"/>
        </right>
        <top/>
        <bottom style="medium">
          <color indexed="64"/>
        </bottom>
      </border>
    </dxf>
    <dxf>
      <border>
        <right style="medium">
          <color indexed="64"/>
        </right>
      </border>
    </dxf>
    <dxf>
      <border>
        <left/>
        <right style="medium">
          <color indexed="64"/>
        </right>
        <top/>
        <bottom style="medium">
          <color indexed="64"/>
        </bottom>
      </border>
    </dxf>
    <dxf>
      <border>
        <left style="medium">
          <color indexed="64"/>
        </left>
        <right/>
        <top style="medium">
          <color indexed="64"/>
        </top>
        <bottom style="medium">
          <color indexed="64"/>
        </bottom>
      </border>
    </dxf>
    <dxf>
      <border>
        <left style="medium">
          <color indexed="64"/>
        </left>
        <right/>
        <top/>
        <bottom style="medium">
          <color indexed="64"/>
        </bottom>
      </border>
    </dxf>
    <dxf>
      <border>
        <left style="medium">
          <color indexed="64"/>
        </left>
        <right style="medium">
          <color indexed="64"/>
        </right>
        <top/>
        <bottom style="medium">
          <color indexed="64"/>
        </bottom>
      </border>
    </dxf>
    <dxf>
      <border>
        <left/>
        <right style="medium">
          <color indexed="64"/>
        </right>
        <top/>
        <bottom style="medium">
          <color indexed="64"/>
        </bottom>
      </border>
    </dxf>
    <dxf>
      <border>
        <left style="medium">
          <color indexed="64"/>
        </left>
        <right style="medium">
          <color indexed="64"/>
        </right>
        <top style="medium">
          <color indexed="64"/>
        </top>
        <bottom style="medium">
          <color indexed="64"/>
        </bottom>
      </border>
    </dxf>
    <dxf>
      <border>
        <left/>
        <right/>
        <top/>
        <bottom/>
      </border>
    </dxf>
    <dxf>
      <border>
        <left style="thin">
          <color indexed="64"/>
        </left>
        <right/>
        <top style="medium">
          <color indexed="64"/>
        </top>
        <bottom style="medium">
          <color indexed="64"/>
        </bottom>
      </border>
    </dxf>
    <dxf>
      <border>
        <left/>
        <right/>
        <top style="medium">
          <color indexed="64"/>
        </top>
        <bottom style="medium">
          <color indexed="64"/>
        </bottom>
      </border>
    </dxf>
    <dxf>
      <border>
        <left/>
        <right/>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thin">
          <color indexed="64"/>
        </bottom>
      </border>
    </dxf>
  </dxfs>
  <tableStyles count="0" defaultTableStyle="TableStyleMedium9" defaultPivotStyle="PivotStyleLight16"/>
  <colors>
    <mruColors>
      <color rgb="FF009999"/>
      <color rgb="FF00BCB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756" Type="http://schemas.openxmlformats.org/officeDocument/2006/relationships/revisionLog" Target="revisionLog1.xml"/><Relationship Id="rId751" Type="http://schemas.openxmlformats.org/officeDocument/2006/relationships/revisionLog" Target="revisionLog11.xml"/><Relationship Id="rId755" Type="http://schemas.openxmlformats.org/officeDocument/2006/relationships/revisionLog" Target="revisionLog3.xml"/><Relationship Id="rId754" Type="http://schemas.openxmlformats.org/officeDocument/2006/relationships/revisionLog" Target="revisionLog2.xml"/><Relationship Id="rId753" Type="http://schemas.openxmlformats.org/officeDocument/2006/relationships/revisionLog" Target="revisionLog12.xml"/><Relationship Id="rId752" Type="http://schemas.openxmlformats.org/officeDocument/2006/relationships/revisionLog" Target="revisionLog121.xml"/></Relationships>
</file>

<file path=xl/revisions/revisionHeaders.xml><?xml version="1.0" encoding="utf-8"?>
<headers xmlns="http://schemas.openxmlformats.org/spreadsheetml/2006/main" xmlns:r="http://schemas.openxmlformats.org/officeDocument/2006/relationships" guid="{A5A3E369-CAED-49D7-8096-22426CA58070}" diskRevisions="1" revisionId="44367" version="10">
  <header guid="{B8DB6DDC-553B-47FC-BE1B-4943273DDEE5}" dateTime="2012-08-13T18:00:07" maxSheetId="13" userName="silverman" r:id="rId751" minRId="43773" maxRId="44320">
    <sheetIdMap count="12">
      <sheetId val="1"/>
      <sheetId val="2"/>
      <sheetId val="3"/>
      <sheetId val="4"/>
      <sheetId val="5"/>
      <sheetId val="9"/>
      <sheetId val="11"/>
      <sheetId val="12"/>
      <sheetId val="10"/>
      <sheetId val="8"/>
      <sheetId val="6"/>
      <sheetId val="7"/>
    </sheetIdMap>
  </header>
  <header guid="{B15EB6E0-F370-48F9-892D-C214A823C8F3}" dateTime="2012-08-14T08:59:49" maxSheetId="13" userName="Ed Lazere" r:id="rId752" minRId="44328" maxRId="44330">
    <sheetIdMap count="12">
      <sheetId val="1"/>
      <sheetId val="2"/>
      <sheetId val="3"/>
      <sheetId val="4"/>
      <sheetId val="5"/>
      <sheetId val="9"/>
      <sheetId val="11"/>
      <sheetId val="12"/>
      <sheetId val="10"/>
      <sheetId val="8"/>
      <sheetId val="6"/>
      <sheetId val="7"/>
    </sheetIdMap>
  </header>
  <header guid="{497F2E8C-86BD-4159-A238-D4CD1F175CB6}" dateTime="2012-08-16T01:00:47" maxSheetId="13" userName="silverman" r:id="rId753">
    <sheetIdMap count="12">
      <sheetId val="1"/>
      <sheetId val="2"/>
      <sheetId val="3"/>
      <sheetId val="4"/>
      <sheetId val="5"/>
      <sheetId val="9"/>
      <sheetId val="11"/>
      <sheetId val="12"/>
      <sheetId val="10"/>
      <sheetId val="8"/>
      <sheetId val="6"/>
      <sheetId val="7"/>
    </sheetIdMap>
  </header>
  <header guid="{6D7C17DE-6F44-4C95-9395-89F41B031C23}" dateTime="2012-08-17T14:25:53" maxSheetId="13" userName="Tina Marshall" r:id="rId754" minRId="44344">
    <sheetIdMap count="12">
      <sheetId val="1"/>
      <sheetId val="2"/>
      <sheetId val="3"/>
      <sheetId val="4"/>
      <sheetId val="5"/>
      <sheetId val="9"/>
      <sheetId val="11"/>
      <sheetId val="12"/>
      <sheetId val="10"/>
      <sheetId val="8"/>
      <sheetId val="6"/>
      <sheetId val="7"/>
    </sheetIdMap>
  </header>
  <header guid="{52111EC1-EC96-40F2-BA64-036119A93797}" dateTime="2012-08-17T14:27:31" maxSheetId="13" userName="Tina Marshall" r:id="rId755">
    <sheetIdMap count="12">
      <sheetId val="1"/>
      <sheetId val="2"/>
      <sheetId val="3"/>
      <sheetId val="4"/>
      <sheetId val="5"/>
      <sheetId val="9"/>
      <sheetId val="11"/>
      <sheetId val="12"/>
      <sheetId val="10"/>
      <sheetId val="8"/>
      <sheetId val="6"/>
      <sheetId val="7"/>
    </sheetIdMap>
  </header>
  <header guid="{A5A3E369-CAED-49D7-8096-22426CA58070}" dateTime="2012-08-17T14:30:09" maxSheetId="13" userName="silverman" r:id="rId756" minRId="44359" maxRId="44360">
    <sheetIdMap count="12">
      <sheetId val="1"/>
      <sheetId val="2"/>
      <sheetId val="3"/>
      <sheetId val="4"/>
      <sheetId val="5"/>
      <sheetId val="9"/>
      <sheetId val="11"/>
      <sheetId val="12"/>
      <sheetId val="10"/>
      <sheetId val="8"/>
      <sheetId val="6"/>
      <sheetId val="7"/>
    </sheetIdMap>
  </header>
</headers>
</file>

<file path=xl/revisions/revisionLog1.xml><?xml version="1.0" encoding="utf-8"?>
<revisions xmlns="http://schemas.openxmlformats.org/spreadsheetml/2006/main" xmlns:r="http://schemas.openxmlformats.org/officeDocument/2006/relationships">
  <rcc rId="44359" sId="4" numFmtId="11">
    <oc r="BO106">
      <v>1954</v>
    </oc>
    <nc r="BO106">
      <v>13099</v>
    </nc>
  </rcc>
  <rcc rId="44360" sId="4" numFmtId="11">
    <oc r="BO151">
      <v>35866</v>
    </oc>
    <nc r="BO151">
      <f>35866+9794</f>
    </nc>
  </rcc>
  <rcv guid="{567C3053-2D8E-4705-8DC7-18896C5303CA}" action="delete"/>
  <rdn rId="0" localSheetId="2" customView="1" name="Z_567C3053_2D8E_4705_8DC7_18896C5303CA_.wvu.Cols" hidden="1" oldHidden="1">
    <formula>'FY2013 by Approp Title'!$AA:$AA</formula>
    <oldFormula>'FY2013 by Approp Title'!$AA:$AA</oldFormula>
  </rdn>
  <rdn rId="0" localSheetId="3" customView="1" name="Z_567C3053_2D8E_4705_8DC7_18896C5303CA_.wvu.Cols" hidden="1" oldHidden="1">
    <formula>'FY2013 By Approp Title-Adj'!$AA:$AA</formula>
    <oldFormula>'FY2013 By Approp Title-Adj'!$AA:$AA</oldFormula>
  </rdn>
  <rdn rId="0" localSheetId="4" customView="1" name="Z_567C3053_2D8E_4705_8DC7_18896C5303CA_.wvu.Rows" hidden="1" oldHidden="1">
    <formula>'FY 2013 by Agency'!$1:$3,'FY 2013 by Agency'!$227:$241</formula>
    <oldFormula>'FY 2013 by Agency'!$1:$3,'FY 2013 by Agency'!$227:$241</oldFormula>
  </rdn>
  <rdn rId="0" localSheetId="4" customView="1" name="Z_567C3053_2D8E_4705_8DC7_18896C5303CA_.wvu.Cols" hidden="1" oldHidden="1">
    <formula>'FY 2013 by Agency'!$BQ:$BQ</formula>
    <oldFormula>'FY 2013 by Agency'!$BQ:$BQ</oldFormula>
  </rdn>
  <rdn rId="0" localSheetId="5" customView="1" name="Z_567C3053_2D8E_4705_8DC7_18896C5303CA_.wvu.Rows" hidden="1" oldHidden="1">
    <formula>'FY 2013 by Agency-Adj'!$1:$3,'FY 2013 by Agency-Adj'!$228:$242</formula>
    <oldFormula>'FY 2013 by Agency-Adj'!$1:$3,'FY 2013 by Agency-Adj'!$228:$242</oldFormula>
  </rdn>
  <rdn rId="0" localSheetId="5" customView="1" name="Z_567C3053_2D8E_4705_8DC7_18896C5303CA_.wvu.Cols" hidden="1" oldHidden="1">
    <formula>'FY 2013 by Agency-Adj'!$AJ:$AM,'FY 2013 by Agency-Adj'!$AP:$AS,'FY 2013 by Agency-Adj'!$BX:$BX</formula>
    <oldFormula>'FY 2013 by Agency-Adj'!$AJ:$AM,'FY 2013 by Agency-Adj'!$AP:$AS,'FY 2013 by Agency-Adj'!$BX:$BX</oldFormula>
  </rdn>
  <rdn rId="0" localSheetId="8" customView="1" name="Z_567C3053_2D8E_4705_8DC7_18896C5303CA_.wvu.Rows" hidden="1" oldHidden="1">
    <formula>'Sheet 4'!$1:$6</formula>
    <oldFormula>'Sheet 4'!$1:$6</oldFormula>
  </rdn>
  <rcv guid="{567C3053-2D8E-4705-8DC7-18896C5303CA}" action="add"/>
</revisions>
</file>

<file path=xl/revisions/revisionLog11.xml><?xml version="1.0" encoding="utf-8"?>
<revisions xmlns="http://schemas.openxmlformats.org/spreadsheetml/2006/main" xmlns:r="http://schemas.openxmlformats.org/officeDocument/2006/relationships">
  <rrc rId="43773" sId="4" ref="BO1:BO1048576" action="insertCol">
    <undo index="2" exp="area" ref3D="1" dr="$A$227:$XFD$241" dn="Z_F784130D_F647_4ABA_8943_C79CA5B0FDC4_.wvu.Rows" sId="4"/>
    <undo index="1" exp="area" ref3D="1" dr="$A$1:$XFD$3" dn="Z_F784130D_F647_4ABA_8943_C79CA5B0FDC4_.wvu.Rows" sId="4"/>
    <undo index="2" exp="area" ref3D="1" dr="$A$227:$XFD$241" dn="Z_E81D05A4_5B21_42D3_A8D3_906ABCABC0F4_.wvu.Rows" sId="4"/>
    <undo index="1" exp="area" ref3D="1" dr="$A$1:$XFD$3" dn="Z_E81D05A4_5B21_42D3_A8D3_906ABCABC0F4_.wvu.Rows" sId="4"/>
    <undo index="24" exp="area" ref3D="1" dr="$BM$1:$BP$1048576" dn="Z_E81D05A4_5B21_42D3_A8D3_906ABCABC0F4_.wvu.Cols" sId="4"/>
    <undo index="2" exp="area" ref3D="1" dr="$A$227:$XFD$241" dn="Z_E44F5FE1_54FC_4AB3_84F9_7D65ACF2DDE7_.wvu.Rows" sId="4"/>
    <undo index="1" exp="area" ref3D="1" dr="$A$1:$XFD$3" dn="Z_E44F5FE1_54FC_4AB3_84F9_7D65ACF2DDE7_.wvu.Rows" sId="4"/>
    <undo index="2" exp="area" ref3D="1" dr="$A$227:$XFD$241" dn="Z_AEFEB150_9213_45F5_A178_7AC71E46DB11_.wvu.Rows" sId="4"/>
    <undo index="1" exp="area" ref3D="1" dr="$A$1:$XFD$3" dn="Z_AEFEB150_9213_45F5_A178_7AC71E46DB11_.wvu.Rows" sId="4"/>
    <undo index="2" exp="area" ref3D="1" dr="$A$227:$XFD$241" dn="Z_A2518DB3_3A80_4035_9307_EC50A7C923F2_.wvu.Rows" sId="4"/>
    <undo index="1" exp="area" ref3D="1" dr="$A$1:$XFD$3" dn="Z_A2518DB3_3A80_4035_9307_EC50A7C923F2_.wvu.Rows" sId="4"/>
    <undo index="2" exp="area" ref3D="1" dr="$A$227:$XFD$241" dn="Z_9D4F0482_B164_4671_805A_E0D2D4DD4720_.wvu.Rows" sId="4"/>
    <undo index="1" exp="area" ref3D="1" dr="$A$1:$XFD$3" dn="Z_9D4F0482_B164_4671_805A_E0D2D4DD4720_.wvu.Rows" sId="4"/>
    <undo index="2" exp="area" ref3D="1" dr="$A$227:$XFD$241" dn="Z_94DA13B6_7351_40F3_8CF7_A4211EC439DA_.wvu.Rows" sId="4"/>
    <undo index="1" exp="area" ref3D="1" dr="$A$1:$XFD$3" dn="Z_94DA13B6_7351_40F3_8CF7_A4211EC439DA_.wvu.Rows" sId="4"/>
    <undo index="2" exp="area" ref3D="1" dr="$A$227:$XFD$241" dn="Z_8F508F4D_4777_42BE_9707_8CB9355F7BDB_.wvu.Rows" sId="4"/>
    <undo index="1" exp="area" ref3D="1" dr="$A$1:$XFD$3" dn="Z_8F508F4D_4777_42BE_9707_8CB9355F7BDB_.wvu.Rows" sId="4"/>
    <undo index="2" exp="area" ref3D="1" dr="$A$227:$XFD$241" dn="Z_78CA186D_B240_44D5_8A24_D241DE0B0FD9_.wvu.Rows" sId="4"/>
    <undo index="1" exp="area" ref3D="1" dr="$A$1:$XFD$3" dn="Z_78CA186D_B240_44D5_8A24_D241DE0B0FD9_.wvu.Rows" sId="4"/>
    <undo index="24" exp="area" ref3D="1" dr="$BM$1:$BP$1048576" dn="Z_78CA186D_B240_44D5_8A24_D241DE0B0FD9_.wvu.Cols" sId="4"/>
    <undo index="2" exp="area" ref3D="1" dr="$A$227:$XFD$241" dn="Z_567C3053_2D8E_4705_8DC7_18896C5303CA_.wvu.Rows" sId="4"/>
    <undo index="1" exp="area" ref3D="1" dr="$A$1:$XFD$3" dn="Z_567C3053_2D8E_4705_8DC7_18896C5303CA_.wvu.Rows" sId="4"/>
    <undo index="0" exp="area" ref3D="1" dr="$BP$1:$BP$1048576" dn="Z_567C3053_2D8E_4705_8DC7_18896C5303CA_.wvu.Cols" sId="4"/>
    <undo index="2" exp="area" ref3D="1" dr="$A$227:$XFD$241" dn="Z_50528D02_548E_47E0_94D7_D1E79CD3569C_.wvu.Rows" sId="4"/>
    <undo index="1" exp="area" ref3D="1" dr="$A$1:$XFD$3" dn="Z_50528D02_548E_47E0_94D7_D1E79CD3569C_.wvu.Rows" sId="4"/>
    <undo index="2" exp="area" ref3D="1" dr="$A$227:$XFD$241" dn="Z_455630F5_40FC_47DB_8AD4_712C20B8FB91_.wvu.Rows" sId="4"/>
    <undo index="1" exp="area" ref3D="1" dr="$A$1:$XFD$3" dn="Z_455630F5_40FC_47DB_8AD4_712C20B8FB91_.wvu.Rows" sId="4"/>
    <undo index="2" exp="area" ref3D="1" dr="$A$227:$XFD$241" dn="Z_1E5198E1_BA46_4CE0_8628_4F695B0D7A3B_.wvu.Rows" sId="4"/>
    <undo index="1" exp="area" ref3D="1" dr="$A$1:$XFD$3" dn="Z_1E5198E1_BA46_4CE0_8628_4F695B0D7A3B_.wvu.Rows" sId="4"/>
  </rrc>
  <rcc rId="43774" sId="4" odxf="1" dxf="1">
    <nc r="BO1" t="inlineStr">
      <is>
        <t>FY 2013</t>
      </is>
    </nc>
    <odxf>
      <font>
        <b val="0"/>
      </font>
      <numFmt numFmtId="0" formatCode="General"/>
      <fill>
        <patternFill patternType="none">
          <bgColor indexed="65"/>
        </patternFill>
      </fill>
      <alignment horizontal="general" vertical="bottom" readingOrder="0"/>
      <border outline="0">
        <bottom/>
      </border>
    </odxf>
    <ndxf>
      <font>
        <b/>
      </font>
      <numFmt numFmtId="165" formatCode="&quot;$&quot;#,##0"/>
      <fill>
        <patternFill patternType="solid">
          <bgColor rgb="FFFFFF00"/>
        </patternFill>
      </fill>
      <alignment horizontal="center" vertical="top" readingOrder="0"/>
      <border outline="0">
        <bottom style="medium">
          <color indexed="64"/>
        </bottom>
      </border>
    </ndxf>
  </rcc>
  <rcc rId="43775" sId="4" odxf="1" dxf="1">
    <nc r="BO2" t="inlineStr">
      <is>
        <t>Approved</t>
      </is>
    </nc>
    <odxf>
      <font>
        <b val="0"/>
      </font>
      <numFmt numFmtId="0" formatCode="General"/>
      <fill>
        <patternFill patternType="none">
          <bgColor indexed="65"/>
        </patternFill>
      </fill>
      <alignment horizontal="general" vertical="bottom" readingOrder="0"/>
      <border outline="0">
        <bottom/>
      </border>
    </odxf>
    <ndxf>
      <font>
        <b/>
      </font>
      <numFmt numFmtId="165" formatCode="&quot;$&quot;#,##0"/>
      <fill>
        <patternFill patternType="solid">
          <bgColor rgb="FFFFFF00"/>
        </patternFill>
      </fill>
      <alignment horizontal="center" vertical="top" readingOrder="0"/>
      <border outline="0">
        <bottom style="medium">
          <color indexed="64"/>
        </bottom>
      </border>
    </ndxf>
  </rcc>
  <rfmt sheetId="4" sqref="BO3" start="0" length="0">
    <dxf>
      <font/>
      <numFmt numFmtId="165" formatCode="&quot;$&quot;#,##0"/>
      <fill>
        <patternFill patternType="solid">
          <bgColor theme="0" tint="-0.249977111117893"/>
        </patternFill>
      </fill>
    </dxf>
  </rfmt>
  <rfmt sheetId="4" sqref="BO4" start="0" length="0">
    <dxf>
      <font>
        <b val="0"/>
      </font>
      <fill>
        <patternFill>
          <bgColor theme="0"/>
        </patternFill>
      </fill>
      <alignment horizontal="general" vertical="bottom" readingOrder="0"/>
      <border outline="0">
        <bottom/>
      </border>
    </dxf>
  </rfmt>
  <rfmt sheetId="4" sqref="BO5" start="0" length="0">
    <dxf>
      <font>
        <b val="0"/>
      </font>
      <fill>
        <patternFill>
          <bgColor theme="0"/>
        </patternFill>
      </fill>
      <alignment horizontal="general" vertical="bottom" readingOrder="0"/>
      <border outline="0">
        <bottom/>
      </border>
    </dxf>
  </rfmt>
  <rfmt sheetId="4" sqref="BO6" start="0" length="0">
    <dxf>
      <font/>
      <fill>
        <patternFill>
          <bgColor theme="0"/>
        </patternFill>
      </fill>
    </dxf>
  </rfmt>
  <rfmt sheetId="4" sqref="BO7" start="0" length="0">
    <dxf>
      <font/>
      <fill>
        <patternFill patternType="solid">
          <bgColor theme="0"/>
        </patternFill>
      </fill>
    </dxf>
  </rfmt>
  <rfmt sheetId="4" sqref="BO8" start="0" length="0">
    <dxf>
      <font/>
      <fill>
        <patternFill patternType="solid">
          <bgColor theme="0"/>
        </patternFill>
      </fill>
    </dxf>
  </rfmt>
  <rfmt sheetId="4" sqref="BO9" start="0" length="0">
    <dxf>
      <font/>
      <fill>
        <patternFill patternType="solid">
          <bgColor theme="0"/>
        </patternFill>
      </fill>
    </dxf>
  </rfmt>
  <rfmt sheetId="4" sqref="BO10" start="0" length="0">
    <dxf>
      <font/>
      <fill>
        <patternFill patternType="solid">
          <bgColor theme="0"/>
        </patternFill>
      </fill>
    </dxf>
  </rfmt>
  <rfmt sheetId="4" sqref="BO11" start="0" length="0">
    <dxf>
      <font/>
      <fill>
        <patternFill patternType="solid">
          <bgColor theme="0"/>
        </patternFill>
      </fill>
    </dxf>
  </rfmt>
  <rfmt sheetId="4" sqref="BO12" start="0" length="0">
    <dxf>
      <font/>
      <fill>
        <patternFill patternType="solid">
          <bgColor theme="0"/>
        </patternFill>
      </fill>
    </dxf>
  </rfmt>
  <rfmt sheetId="4" sqref="BO13" start="0" length="0">
    <dxf>
      <font/>
      <fill>
        <patternFill patternType="solid">
          <bgColor theme="0"/>
        </patternFill>
      </fill>
    </dxf>
  </rfmt>
  <rfmt sheetId="4" sqref="BO14" start="0" length="0">
    <dxf>
      <font/>
      <fill>
        <patternFill patternType="solid">
          <bgColor theme="0"/>
        </patternFill>
      </fill>
    </dxf>
  </rfmt>
  <rfmt sheetId="4" sqref="BO15" start="0" length="0">
    <dxf>
      <font/>
      <fill>
        <patternFill patternType="solid">
          <bgColor theme="0"/>
        </patternFill>
      </fill>
    </dxf>
  </rfmt>
  <rfmt sheetId="4" sqref="BO16" start="0" length="0">
    <dxf>
      <font/>
      <fill>
        <patternFill patternType="solid">
          <bgColor theme="0"/>
        </patternFill>
      </fill>
    </dxf>
  </rfmt>
  <rfmt sheetId="4" sqref="BO17" start="0" length="0">
    <dxf>
      <font/>
      <fill>
        <patternFill patternType="solid">
          <bgColor theme="0"/>
        </patternFill>
      </fill>
    </dxf>
  </rfmt>
  <rfmt sheetId="4" sqref="BO18" start="0" length="0">
    <dxf>
      <font/>
      <fill>
        <patternFill patternType="solid">
          <bgColor theme="0"/>
        </patternFill>
      </fill>
    </dxf>
  </rfmt>
  <rfmt sheetId="4" sqref="BO19" start="0" length="0">
    <dxf>
      <font/>
      <fill>
        <patternFill patternType="solid">
          <bgColor theme="0"/>
        </patternFill>
      </fill>
    </dxf>
  </rfmt>
  <rfmt sheetId="4" sqref="BO20" start="0" length="0">
    <dxf>
      <font/>
      <fill>
        <patternFill patternType="solid">
          <bgColor theme="0"/>
        </patternFill>
      </fill>
    </dxf>
  </rfmt>
  <rfmt sheetId="4" sqref="BO21" start="0" length="0">
    <dxf>
      <font/>
      <fill>
        <patternFill patternType="solid">
          <bgColor theme="0"/>
        </patternFill>
      </fill>
    </dxf>
  </rfmt>
  <rfmt sheetId="4" sqref="BO22" start="0" length="0">
    <dxf>
      <font/>
      <fill>
        <patternFill patternType="solid">
          <bgColor theme="0"/>
        </patternFill>
      </fill>
    </dxf>
  </rfmt>
  <rfmt sheetId="4" sqref="BO23" start="0" length="0">
    <dxf>
      <font/>
      <fill>
        <patternFill patternType="solid">
          <bgColor theme="0"/>
        </patternFill>
      </fill>
    </dxf>
  </rfmt>
  <rfmt sheetId="4" sqref="BO24" start="0" length="0">
    <dxf>
      <font/>
      <fill>
        <patternFill patternType="solid">
          <bgColor theme="0"/>
        </patternFill>
      </fill>
    </dxf>
  </rfmt>
  <rfmt sheetId="4" sqref="BO25" start="0" length="0">
    <dxf>
      <font/>
      <fill>
        <patternFill patternType="solid">
          <bgColor theme="0"/>
        </patternFill>
      </fill>
    </dxf>
  </rfmt>
  <rfmt sheetId="4" sqref="BO26" start="0" length="0">
    <dxf>
      <font/>
      <fill>
        <patternFill patternType="solid">
          <bgColor theme="0"/>
        </patternFill>
      </fill>
    </dxf>
  </rfmt>
  <rfmt sheetId="4" sqref="BO27" start="0" length="0">
    <dxf>
      <font/>
      <fill>
        <patternFill patternType="solid">
          <bgColor theme="0"/>
        </patternFill>
      </fill>
    </dxf>
  </rfmt>
  <rfmt sheetId="4" sqref="BO28" start="0" length="0">
    <dxf>
      <font/>
      <fill>
        <patternFill patternType="solid">
          <bgColor theme="0"/>
        </patternFill>
      </fill>
    </dxf>
  </rfmt>
  <rfmt sheetId="4" sqref="BO29" start="0" length="0">
    <dxf>
      <font/>
      <fill>
        <patternFill patternType="solid">
          <bgColor theme="0"/>
        </patternFill>
      </fill>
    </dxf>
  </rfmt>
  <rfmt sheetId="4" sqref="BO30" start="0" length="0">
    <dxf>
      <font/>
      <fill>
        <patternFill patternType="solid">
          <bgColor theme="0"/>
        </patternFill>
      </fill>
    </dxf>
  </rfmt>
  <rfmt sheetId="4" sqref="BO31" start="0" length="0">
    <dxf>
      <font/>
      <fill>
        <patternFill patternType="solid">
          <bgColor theme="0"/>
        </patternFill>
      </fill>
    </dxf>
  </rfmt>
  <rfmt sheetId="4" sqref="BO32" start="0" length="0">
    <dxf>
      <font/>
      <fill>
        <patternFill patternType="solid">
          <bgColor theme="0"/>
        </patternFill>
      </fill>
    </dxf>
  </rfmt>
  <rfmt sheetId="4" sqref="BO33" start="0" length="0">
    <dxf>
      <font/>
      <fill>
        <patternFill patternType="solid">
          <bgColor theme="0"/>
        </patternFill>
      </fill>
    </dxf>
  </rfmt>
  <rfmt sheetId="4" sqref="BO34" start="0" length="0">
    <dxf>
      <font/>
      <fill>
        <patternFill patternType="solid">
          <bgColor theme="0"/>
        </patternFill>
      </fill>
    </dxf>
  </rfmt>
  <rfmt sheetId="4" sqref="BO35" start="0" length="0">
    <dxf>
      <font/>
      <fill>
        <patternFill patternType="solid">
          <bgColor theme="0"/>
        </patternFill>
      </fill>
    </dxf>
  </rfmt>
  <rfmt sheetId="4" sqref="BO36" start="0" length="0">
    <dxf>
      <font/>
    </dxf>
  </rfmt>
  <rfmt sheetId="4" sqref="BO37" start="0" length="0">
    <dxf>
      <font/>
    </dxf>
  </rfmt>
  <rfmt sheetId="4" sqref="BO38" start="0" length="0">
    <dxf>
      <font>
        <b/>
      </font>
    </dxf>
  </rfmt>
  <rfmt sheetId="4" sqref="BO39" start="0" length="0">
    <dxf>
      <font/>
    </dxf>
  </rfmt>
  <rfmt sheetId="4" sqref="BO40" start="0" length="0">
    <dxf>
      <font/>
    </dxf>
  </rfmt>
  <rfmt sheetId="4" sqref="BO41" start="0" length="0">
    <dxf>
      <font>
        <b val="0"/>
      </font>
    </dxf>
  </rfmt>
  <rfmt sheetId="4" sqref="BO42" start="0" length="0">
    <dxf>
      <font/>
    </dxf>
  </rfmt>
  <rfmt sheetId="4" sqref="BO43" start="0" length="0">
    <dxf>
      <font/>
    </dxf>
  </rfmt>
  <rfmt sheetId="4" sqref="BO44" start="0" length="0">
    <dxf>
      <font/>
    </dxf>
  </rfmt>
  <rfmt sheetId="4" sqref="BO45" start="0" length="0">
    <dxf>
      <font/>
    </dxf>
  </rfmt>
  <rfmt sheetId="4" sqref="BO46" start="0" length="0">
    <dxf>
      <font/>
    </dxf>
  </rfmt>
  <rfmt sheetId="4" sqref="BO47" start="0" length="0">
    <dxf>
      <font/>
      <fill>
        <patternFill patternType="solid">
          <bgColor theme="0" tint="-0.249977111117893"/>
        </patternFill>
      </fill>
    </dxf>
  </rfmt>
  <rfmt sheetId="4" sqref="BO48" start="0" length="0">
    <dxf>
      <font/>
    </dxf>
  </rfmt>
  <rfmt sheetId="4" sqref="BO49" start="0" length="0">
    <dxf>
      <font/>
    </dxf>
  </rfmt>
  <rfmt sheetId="4" sqref="BO50" start="0" length="0">
    <dxf>
      <font/>
      <fill>
        <patternFill patternType="none">
          <bgColor indexed="65"/>
        </patternFill>
      </fill>
    </dxf>
  </rfmt>
  <rfmt sheetId="4" sqref="BO51" start="0" length="0">
    <dxf>
      <font/>
    </dxf>
  </rfmt>
  <rfmt sheetId="4" sqref="BO52" start="0" length="0">
    <dxf>
      <font/>
    </dxf>
  </rfmt>
  <rfmt sheetId="4" sqref="BO53" start="0" length="0">
    <dxf>
      <font/>
    </dxf>
  </rfmt>
  <rfmt sheetId="4" sqref="BO54" start="0" length="0">
    <dxf>
      <font/>
    </dxf>
  </rfmt>
  <rfmt sheetId="4" sqref="BO55" start="0" length="0">
    <dxf>
      <font/>
    </dxf>
  </rfmt>
  <rfmt sheetId="4" sqref="BO56" start="0" length="0">
    <dxf>
      <font/>
    </dxf>
  </rfmt>
  <rfmt sheetId="4" sqref="BO57" start="0" length="0">
    <dxf>
      <font/>
    </dxf>
  </rfmt>
  <rfmt sheetId="4" sqref="BO58" start="0" length="0">
    <dxf>
      <font/>
    </dxf>
  </rfmt>
  <rfmt sheetId="4" sqref="BO59" start="0" length="0">
    <dxf>
      <font/>
    </dxf>
  </rfmt>
  <rfmt sheetId="4" sqref="BO60" start="0" length="0">
    <dxf>
      <font/>
    </dxf>
  </rfmt>
  <rfmt sheetId="4" sqref="BO61" start="0" length="0">
    <dxf>
      <font/>
    </dxf>
  </rfmt>
  <rfmt sheetId="4" sqref="BO62" start="0" length="0">
    <dxf>
      <font/>
    </dxf>
  </rfmt>
  <rfmt sheetId="4" sqref="BO63" start="0" length="0">
    <dxf>
      <font/>
    </dxf>
  </rfmt>
  <rfmt sheetId="4" sqref="BO64" start="0" length="0">
    <dxf>
      <font/>
    </dxf>
  </rfmt>
  <rfmt sheetId="4" sqref="BO65" start="0" length="0">
    <dxf>
      <font/>
    </dxf>
  </rfmt>
  <rfmt sheetId="4" sqref="BO66" start="0" length="0">
    <dxf>
      <font/>
    </dxf>
  </rfmt>
  <rfmt sheetId="4" sqref="BO67" start="0" length="0">
    <dxf>
      <font/>
    </dxf>
  </rfmt>
  <rfmt sheetId="4" sqref="BO68" start="0" length="0">
    <dxf>
      <font/>
    </dxf>
  </rfmt>
  <rfmt sheetId="4" sqref="BO69" start="0" length="0">
    <dxf>
      <font/>
    </dxf>
  </rfmt>
  <rfmt sheetId="4" sqref="BO70" start="0" length="0">
    <dxf>
      <font/>
      <numFmt numFmtId="0" formatCode="General"/>
      <border outline="0">
        <bottom style="medium">
          <color indexed="64"/>
        </bottom>
      </border>
    </dxf>
  </rfmt>
  <rfmt sheetId="4" sqref="BO71" start="0" length="0">
    <dxf>
      <font>
        <b/>
      </font>
    </dxf>
  </rfmt>
  <rfmt sheetId="4" sqref="BO72" start="0" length="0">
    <dxf>
      <font/>
    </dxf>
  </rfmt>
  <rfmt sheetId="4" sqref="BO73" start="0" length="0">
    <dxf>
      <font/>
    </dxf>
  </rfmt>
  <rfmt sheetId="4" sqref="BO74" start="0" length="0">
    <dxf>
      <font>
        <b val="0"/>
      </font>
    </dxf>
  </rfmt>
  <rfmt sheetId="4" sqref="BO75" start="0" length="0">
    <dxf>
      <font/>
    </dxf>
  </rfmt>
  <rfmt sheetId="4" sqref="BO76" start="0" length="0">
    <dxf>
      <font/>
    </dxf>
  </rfmt>
  <rfmt sheetId="4" sqref="BO77" start="0" length="0">
    <dxf>
      <font/>
    </dxf>
  </rfmt>
  <rfmt sheetId="4" sqref="BO78" start="0" length="0">
    <dxf>
      <font/>
    </dxf>
  </rfmt>
  <rfmt sheetId="4" sqref="BO79" start="0" length="0">
    <dxf>
      <font/>
    </dxf>
  </rfmt>
  <rfmt sheetId="4" sqref="BO80" start="0" length="0">
    <dxf>
      <font/>
    </dxf>
  </rfmt>
  <rfmt sheetId="4" sqref="BO81" start="0" length="0">
    <dxf>
      <font/>
      <fill>
        <patternFill patternType="solid">
          <bgColor theme="0" tint="-0.249977111117893"/>
        </patternFill>
      </fill>
    </dxf>
  </rfmt>
  <rfmt sheetId="4" sqref="BO82" start="0" length="0">
    <dxf>
      <font/>
    </dxf>
  </rfmt>
  <rfmt sheetId="4" sqref="BO83" start="0" length="0">
    <dxf>
      <font/>
    </dxf>
  </rfmt>
  <rfmt sheetId="4" sqref="BO84" start="0" length="0">
    <dxf>
      <font/>
      <fill>
        <patternFill patternType="none">
          <bgColor indexed="65"/>
        </patternFill>
      </fill>
    </dxf>
  </rfmt>
  <rfmt sheetId="4" sqref="BO85" start="0" length="0">
    <dxf>
      <font/>
    </dxf>
  </rfmt>
  <rfmt sheetId="4" sqref="BO86" start="0" length="0">
    <dxf>
      <font/>
    </dxf>
  </rfmt>
  <rfmt sheetId="4" sqref="BO87" start="0" length="0">
    <dxf>
      <font/>
    </dxf>
  </rfmt>
  <rfmt sheetId="4" sqref="BO88" start="0" length="0">
    <dxf>
      <font/>
    </dxf>
  </rfmt>
  <rfmt sheetId="4" sqref="BO89" start="0" length="0">
    <dxf>
      <font/>
    </dxf>
  </rfmt>
  <rfmt sheetId="4" sqref="BO90" start="0" length="0">
    <dxf>
      <font/>
    </dxf>
  </rfmt>
  <rfmt sheetId="4" sqref="BO91" start="0" length="0">
    <dxf>
      <font/>
    </dxf>
  </rfmt>
  <rfmt sheetId="4" sqref="BO92" start="0" length="0">
    <dxf>
      <font/>
    </dxf>
  </rfmt>
  <rfmt sheetId="4" sqref="BO93" start="0" length="0">
    <dxf>
      <font/>
    </dxf>
  </rfmt>
  <rfmt sheetId="4" sqref="BO94" start="0" length="0">
    <dxf>
      <font/>
    </dxf>
  </rfmt>
  <rfmt sheetId="4" sqref="BO95" start="0" length="0">
    <dxf>
      <font/>
    </dxf>
  </rfmt>
  <rfmt sheetId="4" sqref="BO96" start="0" length="0">
    <dxf>
      <font/>
    </dxf>
  </rfmt>
  <rfmt sheetId="4" sqref="BO97" start="0" length="0">
    <dxf>
      <font/>
    </dxf>
  </rfmt>
  <rfmt sheetId="4" sqref="BO98" start="0" length="0">
    <dxf>
      <font/>
    </dxf>
  </rfmt>
  <rfmt sheetId="4" sqref="BO99" start="0" length="0">
    <dxf>
      <font/>
    </dxf>
  </rfmt>
  <rfmt sheetId="4" sqref="BO100" start="0" length="0">
    <dxf>
      <font/>
    </dxf>
  </rfmt>
  <rfmt sheetId="4" sqref="BO101" start="0" length="0">
    <dxf>
      <font/>
    </dxf>
  </rfmt>
  <rfmt sheetId="4" sqref="BO102" start="0" length="0">
    <dxf>
      <font/>
    </dxf>
  </rfmt>
  <rfmt sheetId="4" sqref="BO103" start="0" length="0">
    <dxf>
      <font/>
    </dxf>
  </rfmt>
  <rfmt sheetId="4" sqref="BO104" start="0" length="0">
    <dxf>
      <font/>
    </dxf>
  </rfmt>
  <rfmt sheetId="4" sqref="BO105" start="0" length="0">
    <dxf>
      <font/>
      <numFmt numFmtId="0" formatCode="General"/>
      <border outline="0">
        <bottom style="medium">
          <color indexed="64"/>
        </bottom>
      </border>
    </dxf>
  </rfmt>
  <rfmt sheetId="4" sqref="BO106" start="0" length="0">
    <dxf>
      <font>
        <b/>
      </font>
    </dxf>
  </rfmt>
  <rfmt sheetId="4" sqref="BO108" start="0" length="0">
    <dxf>
      <font/>
    </dxf>
  </rfmt>
  <rfmt sheetId="4" sqref="BO109" start="0" length="0">
    <dxf>
      <font>
        <b val="0"/>
      </font>
    </dxf>
  </rfmt>
  <rfmt sheetId="4" sqref="BO110" start="0" length="0">
    <dxf>
      <font/>
    </dxf>
  </rfmt>
  <rfmt sheetId="4" sqref="BO111" start="0" length="0">
    <dxf>
      <font/>
    </dxf>
  </rfmt>
  <rfmt sheetId="4" sqref="BO112" start="0" length="0">
    <dxf>
      <font/>
    </dxf>
  </rfmt>
  <rfmt sheetId="4" sqref="BO113" start="0" length="0">
    <dxf>
      <font/>
    </dxf>
  </rfmt>
  <rfmt sheetId="4" sqref="BO114" start="0" length="0">
    <dxf>
      <font/>
    </dxf>
  </rfmt>
  <rfmt sheetId="4" sqref="BO115" start="0" length="0">
    <dxf>
      <font/>
    </dxf>
  </rfmt>
  <rfmt sheetId="4" sqref="BO116" start="0" length="0">
    <dxf>
      <font/>
      <fill>
        <patternFill patternType="solid">
          <bgColor theme="0" tint="-0.249977111117893"/>
        </patternFill>
      </fill>
    </dxf>
  </rfmt>
  <rfmt sheetId="4" sqref="BO117" start="0" length="0">
    <dxf>
      <font/>
      <fill>
        <patternFill patternType="solid">
          <bgColor theme="0"/>
        </patternFill>
      </fill>
    </dxf>
  </rfmt>
  <rfmt sheetId="4" sqref="BO118" start="0" length="0">
    <dxf>
      <font/>
      <fill>
        <patternFill patternType="solid">
          <bgColor theme="0"/>
        </patternFill>
      </fill>
    </dxf>
  </rfmt>
  <rfmt sheetId="4" sqref="BO119" start="0" length="0">
    <dxf>
      <font/>
      <fill>
        <patternFill>
          <bgColor theme="0"/>
        </patternFill>
      </fill>
    </dxf>
  </rfmt>
  <rfmt sheetId="4" sqref="BO120" start="0" length="0">
    <dxf>
      <font/>
    </dxf>
  </rfmt>
  <rfmt sheetId="4" sqref="BO121" start="0" length="0">
    <dxf>
      <font/>
    </dxf>
  </rfmt>
  <rfmt sheetId="4" sqref="BO122" start="0" length="0">
    <dxf>
      <font/>
    </dxf>
  </rfmt>
  <rfmt sheetId="4" sqref="BO123" start="0" length="0">
    <dxf>
      <font/>
    </dxf>
  </rfmt>
  <rfmt sheetId="4" sqref="BO124" start="0" length="0">
    <dxf>
      <font/>
    </dxf>
  </rfmt>
  <rfmt sheetId="4" sqref="BO125" start="0" length="0">
    <dxf>
      <font/>
    </dxf>
  </rfmt>
  <rfmt sheetId="4" sqref="BO126" start="0" length="0">
    <dxf>
      <font/>
    </dxf>
  </rfmt>
  <rfmt sheetId="4" sqref="BO127" start="0" length="0">
    <dxf>
      <font/>
    </dxf>
  </rfmt>
  <rfmt sheetId="4" sqref="BO128" start="0" length="0">
    <dxf>
      <font/>
    </dxf>
  </rfmt>
  <rfmt sheetId="4" sqref="BO129" start="0" length="0">
    <dxf>
      <font/>
      <numFmt numFmtId="0" formatCode="General"/>
      <fill>
        <patternFill patternType="none">
          <bgColor indexed="65"/>
        </patternFill>
      </fill>
      <border outline="0">
        <bottom style="medium">
          <color indexed="64"/>
        </bottom>
      </border>
    </dxf>
  </rfmt>
  <rfmt sheetId="4" sqref="BO130" start="0" length="0">
    <dxf>
      <font/>
    </dxf>
  </rfmt>
  <rfmt sheetId="4" sqref="BO131" start="0" length="0">
    <dxf>
      <font/>
      <fill>
        <patternFill patternType="none">
          <bgColor indexed="65"/>
        </patternFill>
      </fill>
    </dxf>
  </rfmt>
  <rfmt sheetId="4" sqref="BO132" start="0" length="0">
    <dxf>
      <font/>
      <fill>
        <patternFill patternType="none">
          <bgColor indexed="65"/>
        </patternFill>
      </fill>
    </dxf>
  </rfmt>
  <rfmt sheetId="4" sqref="BO133" start="0" length="0">
    <dxf>
      <font>
        <b val="0"/>
      </font>
    </dxf>
  </rfmt>
  <rfmt sheetId="4" sqref="BO134" start="0" length="0">
    <dxf>
      <font/>
    </dxf>
  </rfmt>
  <rfmt sheetId="4" sqref="BO135" start="0" length="0">
    <dxf>
      <font/>
    </dxf>
  </rfmt>
  <rfmt sheetId="4" sqref="BO136" start="0" length="0">
    <dxf>
      <font/>
    </dxf>
  </rfmt>
  <rfmt sheetId="4" sqref="BO137" start="0" length="0">
    <dxf>
      <font/>
    </dxf>
  </rfmt>
  <rfmt sheetId="4" sqref="BO138" start="0" length="0">
    <dxf>
      <font/>
    </dxf>
  </rfmt>
  <rfmt sheetId="4" sqref="BO139" start="0" length="0">
    <dxf>
      <font/>
    </dxf>
  </rfmt>
  <rfmt sheetId="4" sqref="BO140" start="0" length="0">
    <dxf>
      <font/>
    </dxf>
  </rfmt>
  <rfmt sheetId="4" sqref="BO141" start="0" length="0">
    <dxf>
      <font/>
    </dxf>
  </rfmt>
  <rfmt sheetId="4" sqref="BO142" start="0" length="0">
    <dxf>
      <font/>
      <fill>
        <patternFill patternType="solid">
          <bgColor theme="0" tint="-0.249977111117893"/>
        </patternFill>
      </fill>
    </dxf>
  </rfmt>
  <rfmt sheetId="4" sqref="BO143" start="0" length="0">
    <dxf>
      <font/>
    </dxf>
  </rfmt>
  <rfmt sheetId="4" sqref="BO144" start="0" length="0">
    <dxf>
      <font/>
    </dxf>
  </rfmt>
  <rfmt sheetId="4" sqref="BO145" start="0" length="0">
    <dxf>
      <font/>
      <fill>
        <patternFill patternType="none">
          <bgColor indexed="65"/>
        </patternFill>
      </fill>
    </dxf>
  </rfmt>
  <rfmt sheetId="4" sqref="BO146" start="0" length="0">
    <dxf>
      <font/>
    </dxf>
  </rfmt>
  <rfmt sheetId="4" sqref="BO147" start="0" length="0">
    <dxf>
      <font/>
    </dxf>
  </rfmt>
  <rfmt sheetId="4" sqref="BO148" start="0" length="0">
    <dxf>
      <font/>
    </dxf>
  </rfmt>
  <rfmt sheetId="4" sqref="BO149" start="0" length="0">
    <dxf>
      <font/>
    </dxf>
  </rfmt>
  <rfmt sheetId="4" sqref="BO150" start="0" length="0">
    <dxf>
      <font/>
    </dxf>
  </rfmt>
  <rfmt sheetId="4" sqref="BO151" start="0" length="0">
    <dxf>
      <font/>
    </dxf>
  </rfmt>
  <rfmt sheetId="4" sqref="BO152" start="0" length="0">
    <dxf>
      <font/>
    </dxf>
  </rfmt>
  <rfmt sheetId="4" sqref="BO153" start="0" length="0">
    <dxf>
      <font/>
    </dxf>
  </rfmt>
  <rfmt sheetId="4" sqref="BO154" start="0" length="0">
    <dxf>
      <font/>
    </dxf>
  </rfmt>
  <rfmt sheetId="4" sqref="BO155" start="0" length="0">
    <dxf>
      <font/>
    </dxf>
  </rfmt>
  <rfmt sheetId="4" sqref="BO156" start="0" length="0">
    <dxf>
      <font/>
    </dxf>
  </rfmt>
  <rfmt sheetId="4" sqref="BO157" start="0" length="0">
    <dxf>
      <font/>
    </dxf>
  </rfmt>
  <rfmt sheetId="4" sqref="BO158" start="0" length="0">
    <dxf>
      <font/>
    </dxf>
  </rfmt>
  <rfmt sheetId="4" sqref="BO159" start="0" length="0">
    <dxf>
      <font/>
    </dxf>
  </rfmt>
  <rfmt sheetId="4" sqref="BO160" start="0" length="0">
    <dxf>
      <font/>
    </dxf>
  </rfmt>
  <rfmt sheetId="4" sqref="BO161" start="0" length="0">
    <dxf>
      <font/>
    </dxf>
  </rfmt>
  <rfmt sheetId="4" sqref="BO162" start="0" length="0">
    <dxf>
      <font/>
    </dxf>
  </rfmt>
  <rfmt sheetId="4" sqref="BO163" start="0" length="0">
    <dxf>
      <font>
        <b/>
      </font>
    </dxf>
  </rfmt>
  <rfmt sheetId="4" sqref="BO164" start="0" length="0">
    <dxf>
      <font/>
    </dxf>
  </rfmt>
  <rfmt sheetId="4" sqref="BO165" start="0" length="0">
    <dxf>
      <font/>
    </dxf>
  </rfmt>
  <rfmt sheetId="4" sqref="BO166" start="0" length="0">
    <dxf>
      <font>
        <b val="0"/>
      </font>
    </dxf>
  </rfmt>
  <rfmt sheetId="4" sqref="BO167" start="0" length="0">
    <dxf>
      <font/>
    </dxf>
  </rfmt>
  <rfmt sheetId="4" sqref="BO168" start="0" length="0">
    <dxf>
      <font/>
    </dxf>
  </rfmt>
  <rfmt sheetId="4" sqref="BO169" start="0" length="0">
    <dxf>
      <font/>
    </dxf>
  </rfmt>
  <rfmt sheetId="4" sqref="BO170" start="0" length="0">
    <dxf>
      <font/>
    </dxf>
  </rfmt>
  <rfmt sheetId="4" sqref="BO171" start="0" length="0">
    <dxf>
      <font/>
    </dxf>
  </rfmt>
  <rfmt sheetId="4" sqref="BO172" start="0" length="0">
    <dxf>
      <font/>
    </dxf>
  </rfmt>
  <rfmt sheetId="4" sqref="BO173" start="0" length="0">
    <dxf>
      <font/>
    </dxf>
  </rfmt>
  <rfmt sheetId="4" sqref="BO174" start="0" length="0">
    <dxf>
      <font/>
    </dxf>
  </rfmt>
  <rfmt sheetId="4" sqref="BO175" start="0" length="0">
    <dxf>
      <font/>
      <fill>
        <patternFill patternType="solid">
          <bgColor theme="0" tint="-0.249977111117893"/>
        </patternFill>
      </fill>
    </dxf>
  </rfmt>
  <rfmt sheetId="4" sqref="BO176" start="0" length="0">
    <dxf>
      <font/>
    </dxf>
  </rfmt>
  <rfmt sheetId="4" sqref="BO177" start="0" length="0">
    <dxf>
      <font/>
    </dxf>
  </rfmt>
  <rfmt sheetId="4" sqref="BO178" start="0" length="0">
    <dxf>
      <font/>
      <fill>
        <patternFill patternType="none">
          <bgColor indexed="65"/>
        </patternFill>
      </fill>
    </dxf>
  </rfmt>
  <rfmt sheetId="4" sqref="BO179" start="0" length="0">
    <dxf>
      <font/>
    </dxf>
  </rfmt>
  <rfmt sheetId="4" sqref="BO180" start="0" length="0">
    <dxf>
      <font/>
    </dxf>
  </rfmt>
  <rfmt sheetId="4" sqref="BO181" start="0" length="0">
    <dxf>
      <font/>
    </dxf>
  </rfmt>
  <rfmt sheetId="4" sqref="BO182" start="0" length="0">
    <dxf>
      <font/>
    </dxf>
  </rfmt>
  <rfmt sheetId="4" sqref="BO183" start="0" length="0">
    <dxf>
      <font/>
    </dxf>
  </rfmt>
  <rfmt sheetId="4" sqref="BO184" start="0" length="0">
    <dxf>
      <font/>
    </dxf>
  </rfmt>
  <rfmt sheetId="4" sqref="BO185" start="0" length="0">
    <dxf>
      <font>
        <b/>
      </font>
    </dxf>
  </rfmt>
  <rfmt sheetId="4" sqref="BO186" start="0" length="0">
    <dxf>
      <font/>
    </dxf>
  </rfmt>
  <rfmt sheetId="4" sqref="BO187" start="0" length="0">
    <dxf>
      <font/>
    </dxf>
  </rfmt>
  <rfmt sheetId="4" sqref="BO188" start="0" length="0">
    <dxf>
      <font>
        <b val="0"/>
      </font>
    </dxf>
  </rfmt>
  <rfmt sheetId="4" sqref="BO189" start="0" length="0">
    <dxf>
      <font/>
    </dxf>
  </rfmt>
  <rfmt sheetId="4" sqref="BO190" start="0" length="0">
    <dxf>
      <font/>
    </dxf>
  </rfmt>
  <rfmt sheetId="4" sqref="BO191" start="0" length="0">
    <dxf>
      <font/>
    </dxf>
  </rfmt>
  <rfmt sheetId="4" sqref="BO192" start="0" length="0">
    <dxf>
      <font/>
    </dxf>
  </rfmt>
  <rfmt sheetId="4" sqref="BO193" start="0" length="0">
    <dxf>
      <font/>
    </dxf>
  </rfmt>
  <rfmt sheetId="4" sqref="BO194" start="0" length="0">
    <dxf>
      <font/>
      <fill>
        <patternFill patternType="solid">
          <bgColor theme="0" tint="-0.249977111117893"/>
        </patternFill>
      </fill>
    </dxf>
  </rfmt>
  <rfmt sheetId="4" sqref="BO195" start="0" length="0">
    <dxf>
      <font/>
    </dxf>
  </rfmt>
  <rfmt sheetId="4" sqref="BO196" start="0" length="0">
    <dxf>
      <font/>
    </dxf>
  </rfmt>
  <rfmt sheetId="4" sqref="BO197" start="0" length="0">
    <dxf>
      <font/>
      <fill>
        <patternFill patternType="none">
          <bgColor indexed="65"/>
        </patternFill>
      </fill>
    </dxf>
  </rfmt>
  <rfmt sheetId="4" sqref="BO198" start="0" length="0">
    <dxf>
      <font/>
    </dxf>
  </rfmt>
  <rfmt sheetId="4" sqref="BO199" start="0" length="0">
    <dxf>
      <font/>
    </dxf>
  </rfmt>
  <rfmt sheetId="4" sqref="BO200" start="0" length="0">
    <dxf>
      <font/>
    </dxf>
  </rfmt>
  <rfmt sheetId="4" sqref="BO201" start="0" length="0">
    <dxf>
      <font/>
    </dxf>
  </rfmt>
  <rfmt sheetId="4" sqref="BO202" start="0" length="0">
    <dxf>
      <font/>
    </dxf>
  </rfmt>
  <rfmt sheetId="4" sqref="BO203" start="0" length="0">
    <dxf>
      <font/>
    </dxf>
  </rfmt>
  <rfmt sheetId="4" sqref="BO204" start="0" length="0">
    <dxf>
      <font/>
    </dxf>
  </rfmt>
  <rfmt sheetId="4" sqref="BO205" start="0" length="0">
    <dxf>
      <font/>
    </dxf>
  </rfmt>
  <rfmt sheetId="4" sqref="BO206" start="0" length="0">
    <dxf>
      <font/>
    </dxf>
  </rfmt>
  <rfmt sheetId="4" sqref="BO207" start="0" length="0">
    <dxf>
      <font/>
    </dxf>
  </rfmt>
  <rfmt sheetId="4" sqref="BO208" start="0" length="0">
    <dxf>
      <font/>
    </dxf>
  </rfmt>
  <rfmt sheetId="4" sqref="BO209" start="0" length="0">
    <dxf>
      <font/>
    </dxf>
  </rfmt>
  <rfmt sheetId="4" sqref="BO210" start="0" length="0">
    <dxf>
      <font/>
    </dxf>
  </rfmt>
  <rfmt sheetId="4" sqref="BO211" start="0" length="0">
    <dxf>
      <font/>
    </dxf>
  </rfmt>
  <rfmt sheetId="4" sqref="BO212" start="0" length="0">
    <dxf>
      <font/>
    </dxf>
  </rfmt>
  <rfmt sheetId="4" sqref="BO213" start="0" length="0">
    <dxf>
      <font/>
    </dxf>
  </rfmt>
  <rfmt sheetId="4" sqref="BO214" start="0" length="0">
    <dxf>
      <font/>
    </dxf>
  </rfmt>
  <rfmt sheetId="4" sqref="BO215" start="0" length="0">
    <dxf>
      <font/>
    </dxf>
  </rfmt>
  <rfmt sheetId="4" sqref="BO216" start="0" length="0">
    <dxf>
      <font/>
    </dxf>
  </rfmt>
  <rfmt sheetId="4" sqref="BO217" start="0" length="0">
    <dxf>
      <font/>
    </dxf>
  </rfmt>
  <rfmt sheetId="4" sqref="BO218" start="0" length="0">
    <dxf>
      <font/>
    </dxf>
  </rfmt>
  <rfmt sheetId="4" sqref="BO219" start="0" length="0">
    <dxf>
      <font>
        <b/>
      </font>
    </dxf>
  </rfmt>
  <rfmt sheetId="4" sqref="BO220" start="0" length="0">
    <dxf/>
  </rfmt>
  <rfmt sheetId="4" sqref="BO221" start="0" length="0">
    <dxf>
      <font/>
    </dxf>
  </rfmt>
  <rfmt sheetId="4" sqref="BO222" start="0" length="0">
    <dxf>
      <font>
        <b val="0"/>
      </font>
    </dxf>
  </rfmt>
  <rfmt sheetId="4" sqref="BO223" start="0" length="0">
    <dxf>
      <font/>
    </dxf>
  </rfmt>
  <rfmt sheetId="4" sqref="BO224" start="0" length="0">
    <dxf>
      <font/>
    </dxf>
  </rfmt>
  <rfmt sheetId="4" sqref="BO225" start="0" length="0">
    <dxf>
      <font/>
    </dxf>
  </rfmt>
  <rfmt sheetId="4" sqref="BO226" start="0" length="0">
    <dxf>
      <font/>
    </dxf>
  </rfmt>
  <rfmt sheetId="4" sqref="BO227" start="0" length="0">
    <dxf>
      <font/>
    </dxf>
  </rfmt>
  <rfmt sheetId="4" sqref="BO228" start="0" length="0">
    <dxf>
      <font/>
    </dxf>
  </rfmt>
  <rfmt sheetId="4" sqref="BO229" start="0" length="0">
    <dxf>
      <font/>
    </dxf>
  </rfmt>
  <rfmt sheetId="4" sqref="BO230" start="0" length="0">
    <dxf>
      <font/>
    </dxf>
  </rfmt>
  <rfmt sheetId="4" sqref="BO231" start="0" length="0">
    <dxf>
      <font/>
    </dxf>
  </rfmt>
  <rfmt sheetId="4" sqref="BO232" start="0" length="0">
    <dxf>
      <font/>
    </dxf>
  </rfmt>
  <rfmt sheetId="4" sqref="BO233" start="0" length="0">
    <dxf>
      <font/>
    </dxf>
  </rfmt>
  <rfmt sheetId="4" sqref="BO234" start="0" length="0">
    <dxf>
      <font/>
    </dxf>
  </rfmt>
  <rfmt sheetId="4" sqref="BO235" start="0" length="0">
    <dxf>
      <font/>
    </dxf>
  </rfmt>
  <rfmt sheetId="4" sqref="BO236" start="0" length="0">
    <dxf>
      <font/>
    </dxf>
  </rfmt>
  <rfmt sheetId="4" sqref="BO237" start="0" length="0">
    <dxf>
      <font/>
    </dxf>
  </rfmt>
  <rfmt sheetId="4" sqref="BO238" start="0" length="0">
    <dxf>
      <font/>
    </dxf>
  </rfmt>
  <rfmt sheetId="4" sqref="BO239" start="0" length="0">
    <dxf>
      <font/>
      <fill>
        <patternFill patternType="solid">
          <bgColor theme="0" tint="-0.249977111117893"/>
        </patternFill>
      </fill>
    </dxf>
  </rfmt>
  <rfmt sheetId="4" sqref="BO4" start="0" length="0">
    <dxf>
      <font>
        <b/>
      </font>
      <fill>
        <patternFill>
          <bgColor rgb="FFFFFF00"/>
        </patternFill>
      </fill>
      <alignment horizontal="center" vertical="top" readingOrder="0"/>
      <border outline="0">
        <bottom style="medium">
          <color indexed="64"/>
        </bottom>
      </border>
    </dxf>
  </rfmt>
  <rfmt sheetId="4" sqref="BO5" start="0" length="0">
    <dxf>
      <font>
        <b/>
      </font>
      <fill>
        <patternFill>
          <bgColor rgb="FFFFFF00"/>
        </patternFill>
      </fill>
      <alignment horizontal="center" vertical="top" readingOrder="0"/>
      <border outline="0">
        <bottom style="medium">
          <color indexed="64"/>
        </bottom>
      </border>
    </dxf>
  </rfmt>
  <rfmt sheetId="4" sqref="BO6" start="0" length="0">
    <dxf>
      <fill>
        <patternFill>
          <bgColor theme="0" tint="-0.249977111117893"/>
        </patternFill>
      </fill>
    </dxf>
  </rfmt>
  <rfmt sheetId="4" sqref="BO36" start="0" length="0">
    <dxf>
      <fill>
        <patternFill patternType="solid">
          <bgColor theme="0"/>
        </patternFill>
      </fill>
    </dxf>
  </rfmt>
  <rfmt sheetId="4" sqref="BO37" start="0" length="0">
    <dxf>
      <fill>
        <patternFill patternType="solid">
          <bgColor theme="0"/>
        </patternFill>
      </fill>
    </dxf>
  </rfmt>
  <rfmt sheetId="4" sqref="BO38" start="0" length="0">
    <dxf>
      <font>
        <b val="0"/>
      </font>
      <fill>
        <patternFill patternType="solid">
          <bgColor theme="0"/>
        </patternFill>
      </fill>
    </dxf>
  </rfmt>
  <rfmt sheetId="4" sqref="BO41" start="0" length="0">
    <dxf>
      <font>
        <b/>
      </font>
    </dxf>
  </rfmt>
  <rfmt sheetId="4" sqref="BO47" start="0" length="0">
    <dxf>
      <fill>
        <patternFill patternType="none">
          <bgColor indexed="65"/>
        </patternFill>
      </fill>
    </dxf>
  </rfmt>
  <rfmt sheetId="4" sqref="BO50" start="0" length="0">
    <dxf>
      <fill>
        <patternFill patternType="solid">
          <bgColor theme="0" tint="-0.249977111117893"/>
        </patternFill>
      </fill>
    </dxf>
  </rfmt>
  <rfmt sheetId="4" sqref="BO70" start="0" length="0">
    <dxf>
      <numFmt numFmtId="165" formatCode="&quot;$&quot;#,##0"/>
      <border outline="0">
        <bottom/>
      </border>
    </dxf>
  </rfmt>
  <rfmt sheetId="4" sqref="BO71" start="0" length="0">
    <dxf>
      <font>
        <b val="0"/>
      </font>
    </dxf>
  </rfmt>
  <rfmt sheetId="4" sqref="BO73" start="0" length="0">
    <dxf>
      <numFmt numFmtId="0" formatCode="General"/>
      <border outline="0">
        <bottom style="medium">
          <color indexed="64"/>
        </bottom>
      </border>
    </dxf>
  </rfmt>
  <rfmt sheetId="4" sqref="BO74" start="0" length="0">
    <dxf>
      <font>
        <b/>
      </font>
    </dxf>
  </rfmt>
  <rfmt sheetId="4" sqref="BO81" start="0" length="0">
    <dxf>
      <fill>
        <patternFill patternType="none">
          <bgColor indexed="65"/>
        </patternFill>
      </fill>
    </dxf>
  </rfmt>
  <rfmt sheetId="4" sqref="BO84" start="0" length="0">
    <dxf>
      <fill>
        <patternFill patternType="solid">
          <bgColor theme="0" tint="-0.249977111117893"/>
        </patternFill>
      </fill>
    </dxf>
  </rfmt>
  <rfmt sheetId="4" sqref="BO105" start="0" length="0">
    <dxf>
      <numFmt numFmtId="165" formatCode="&quot;$&quot;#,##0"/>
      <border outline="0">
        <bottom/>
      </border>
    </dxf>
  </rfmt>
  <rfmt sheetId="4" sqref="BO106" start="0" length="0">
    <dxf>
      <font>
        <b val="0"/>
      </font>
    </dxf>
  </rfmt>
  <rfmt sheetId="4" sqref="BO108" start="0" length="0">
    <dxf>
      <numFmt numFmtId="0" formatCode="General"/>
      <border outline="0">
        <bottom style="medium">
          <color indexed="64"/>
        </bottom>
      </border>
    </dxf>
  </rfmt>
  <rfmt sheetId="4" sqref="BO109" start="0" length="0">
    <dxf>
      <font>
        <b/>
      </font>
    </dxf>
  </rfmt>
  <rfmt sheetId="4" sqref="BO116" start="0" length="0">
    <dxf>
      <fill>
        <patternFill patternType="none">
          <bgColor indexed="65"/>
        </patternFill>
      </fill>
    </dxf>
  </rfmt>
  <rfmt sheetId="4" sqref="BO117" start="0" length="0">
    <dxf>
      <fill>
        <patternFill patternType="none">
          <bgColor indexed="65"/>
        </patternFill>
      </fill>
    </dxf>
  </rfmt>
  <rfmt sheetId="4" sqref="BO118" start="0" length="0">
    <dxf>
      <fill>
        <patternFill patternType="none">
          <bgColor indexed="65"/>
        </patternFill>
      </fill>
    </dxf>
  </rfmt>
  <rfmt sheetId="4" sqref="BO119" start="0" length="0">
    <dxf>
      <fill>
        <patternFill>
          <bgColor theme="0" tint="-0.249977111117893"/>
        </patternFill>
      </fill>
    </dxf>
  </rfmt>
  <rfmt sheetId="4" sqref="BO129" start="0" length="0">
    <dxf>
      <numFmt numFmtId="165" formatCode="&quot;$&quot;#,##0"/>
      <fill>
        <patternFill patternType="solid">
          <bgColor theme="0"/>
        </patternFill>
      </fill>
      <border outline="0">
        <bottom/>
      </border>
    </dxf>
  </rfmt>
  <rfmt sheetId="4" sqref="BO130" start="0" length="0">
    <dxf/>
  </rfmt>
  <rfmt sheetId="4" sqref="BO131" start="0" length="0">
    <dxf>
      <fill>
        <patternFill patternType="solid">
          <bgColor theme="0"/>
        </patternFill>
      </fill>
    </dxf>
  </rfmt>
  <rfmt sheetId="4" sqref="BO132" start="0" length="0">
    <dxf>
      <numFmt numFmtId="0" formatCode="General"/>
      <border outline="0">
        <bottom style="medium">
          <color indexed="64"/>
        </bottom>
      </border>
    </dxf>
  </rfmt>
  <rfmt sheetId="4" sqref="BO133" start="0" length="0">
    <dxf>
      <fill>
        <patternFill patternType="solid">
          <bgColor theme="0"/>
        </patternFill>
      </fill>
    </dxf>
  </rfmt>
  <rfmt sheetId="4" sqref="BO142" start="0" length="0">
    <dxf>
      <fill>
        <patternFill patternType="none">
          <bgColor indexed="65"/>
        </patternFill>
      </fill>
    </dxf>
  </rfmt>
  <rfmt sheetId="4" sqref="BO145" start="0" length="0">
    <dxf>
      <fill>
        <patternFill patternType="solid">
          <bgColor theme="0" tint="-0.249977111117893"/>
        </patternFill>
      </fill>
    </dxf>
  </rfmt>
  <rfmt sheetId="4" sqref="BO162" start="0" length="0">
    <dxf/>
  </rfmt>
  <rfmt sheetId="4" sqref="BO163" start="0" length="0">
    <dxf>
      <font>
        <b val="0"/>
      </font>
    </dxf>
  </rfmt>
  <rfmt sheetId="4" sqref="BO165" start="0" length="0">
    <dxf/>
  </rfmt>
  <rfmt sheetId="4" sqref="BO166" start="0" length="0">
    <dxf>
      <font>
        <b/>
      </font>
    </dxf>
  </rfmt>
  <rfmt sheetId="4" sqref="BO175" start="0" length="0">
    <dxf>
      <fill>
        <patternFill patternType="none">
          <bgColor indexed="65"/>
        </patternFill>
      </fill>
    </dxf>
  </rfmt>
  <rfmt sheetId="4" sqref="BO178" start="0" length="0">
    <dxf>
      <fill>
        <patternFill patternType="solid">
          <bgColor theme="0" tint="-0.249977111117893"/>
        </patternFill>
      </fill>
    </dxf>
  </rfmt>
  <rfmt sheetId="4" sqref="BO184" start="0" length="0">
    <dxf/>
  </rfmt>
  <rfmt sheetId="4" sqref="BO185" start="0" length="0">
    <dxf>
      <font>
        <b val="0"/>
      </font>
    </dxf>
  </rfmt>
  <rfmt sheetId="4" sqref="BO187" start="0" length="0">
    <dxf/>
  </rfmt>
  <rfmt sheetId="4" sqref="BO188" start="0" length="0">
    <dxf>
      <font>
        <b/>
      </font>
    </dxf>
  </rfmt>
  <rfmt sheetId="4" sqref="BO194" start="0" length="0">
    <dxf>
      <fill>
        <patternFill patternType="none">
          <bgColor indexed="65"/>
        </patternFill>
      </fill>
    </dxf>
  </rfmt>
  <rfmt sheetId="4" sqref="BO197" start="0" length="0">
    <dxf>
      <fill>
        <patternFill patternType="solid">
          <bgColor theme="0" tint="-0.249977111117893"/>
        </patternFill>
      </fill>
    </dxf>
  </rfmt>
  <rfmt sheetId="4" sqref="BO217" start="0" length="0">
    <dxf/>
  </rfmt>
  <rfmt sheetId="4" sqref="BO218" start="0" length="0">
    <dxf/>
  </rfmt>
  <rfmt sheetId="4" sqref="BO219" start="0" length="0">
    <dxf>
      <font>
        <b val="0"/>
      </font>
    </dxf>
  </rfmt>
  <rfmt sheetId="4" sqref="BO220" start="0" length="0">
    <dxf/>
  </rfmt>
  <rfmt sheetId="4" sqref="BO221" start="0" length="0">
    <dxf/>
  </rfmt>
  <rfmt sheetId="4" sqref="BO222" start="0" length="0">
    <dxf>
      <font>
        <b/>
      </font>
    </dxf>
  </rfmt>
  <rfmt sheetId="4" sqref="BO223" start="0" length="0">
    <dxf/>
  </rfmt>
  <rfmt sheetId="4" sqref="BO226" start="0" length="0">
    <dxf/>
  </rfmt>
  <rfmt sheetId="4" sqref="BO239" start="0" length="0">
    <dxf>
      <fill>
        <patternFill patternType="none">
          <bgColor indexed="65"/>
        </patternFill>
      </fill>
    </dxf>
  </rfmt>
  <rfmt sheetId="4" sqref="BO240" start="0" length="0">
    <dxf>
      <font/>
    </dxf>
  </rfmt>
  <rfmt sheetId="4" sqref="BO241" start="0" length="0">
    <dxf>
      <font/>
    </dxf>
  </rfmt>
  <rfmt sheetId="4" sqref="BO242" start="0" length="0">
    <dxf>
      <font/>
    </dxf>
  </rfmt>
  <rcmt sheetId="4" cell="BO18" guid="{00000000-0000-0000-0000-000000000000}" action="delete" author="silverman"/>
  <rcmt sheetId="4" cell="BO31" guid="{00000000-0000-0000-0000-000000000000}" action="delete" author="silverman"/>
  <rrc rId="43776" sId="2" ref="AO1:AO1048576" action="insertCol"/>
  <rcc rId="43777" sId="2">
    <nc r="AO9" t="inlineStr">
      <is>
        <t>FY 2013 APPROVED</t>
      </is>
    </nc>
  </rcc>
  <rcc rId="43778" sId="2">
    <oc r="AP11">
      <f>AN11-AK11</f>
    </oc>
    <nc r="AP11">
      <f>AO11-AK11</f>
    </nc>
  </rcc>
  <rcc rId="43779" sId="2">
    <oc r="AP12">
      <f>AN12-AK12</f>
    </oc>
    <nc r="AP12">
      <f>AO12-AK12</f>
    </nc>
  </rcc>
  <rcc rId="43780" sId="2">
    <oc r="AP13">
      <f>AN13-AK13</f>
    </oc>
    <nc r="AP13">
      <f>AO13-AK13</f>
    </nc>
  </rcc>
  <rcc rId="43781" sId="2">
    <oc r="AP14">
      <f>AN14-AK14</f>
    </oc>
    <nc r="AP14">
      <f>AO14-AK14</f>
    </nc>
  </rcc>
  <rcc rId="43782" sId="2">
    <oc r="AP15">
      <f>AN15-AK15</f>
    </oc>
    <nc r="AP15">
      <f>AO15-AK15</f>
    </nc>
  </rcc>
  <rcc rId="43783" sId="2">
    <oc r="AP16">
      <f>AN16-AK16</f>
    </oc>
    <nc r="AP16">
      <f>AO16-AK16</f>
    </nc>
  </rcc>
  <rcc rId="43784" sId="2">
    <oc r="AP17">
      <f>AN17-AK17</f>
    </oc>
    <nc r="AP17">
      <f>AO17-AK17</f>
    </nc>
  </rcc>
  <rcc rId="43785" sId="2">
    <oc r="AP18">
      <f>AN18-AK18</f>
    </oc>
    <nc r="AP18">
      <f>AO18-AK18</f>
    </nc>
  </rcc>
  <rrc rId="43786" sId="3" ref="AO1:AO1048576" action="insertCol"/>
  <rcc rId="43787" sId="4">
    <oc r="BP7">
      <f>BN7-BE7</f>
    </oc>
    <nc r="BP7">
      <f>BO7-BE7</f>
    </nc>
  </rcc>
  <rrc rId="43788" sId="5" ref="BY1:BY1048576" action="insertCol">
    <undo index="4" exp="area" ref3D="1" dr="$A$228:$XFD$242" dn="Z_F784130D_F647_4ABA_8943_C79CA5B0FDC4_.wvu.Rows" sId="5"/>
    <undo index="2" exp="area" ref3D="1" dr="$A$164:$XFD$164" dn="Z_F784130D_F647_4ABA_8943_C79CA5B0FDC4_.wvu.Rows" sId="5"/>
    <undo index="1" exp="area" ref3D="1" dr="$A$1:$XFD$3" dn="Z_F784130D_F647_4ABA_8943_C79CA5B0FDC4_.wvu.Rows" sId="5"/>
    <undo index="10" exp="area" ref3D="1" dr="$A$228:$XFD$242" dn="Z_E81D05A4_5B21_42D3_A8D3_906ABCABC0F4_.wvu.Rows" sId="5"/>
    <undo index="8" exp="area" ref3D="1" dr="$A$164:$XFD$164" dn="Z_E81D05A4_5B21_42D3_A8D3_906ABCABC0F4_.wvu.Rows" sId="5"/>
    <undo index="6" exp="area" ref3D="1" dr="$A$157:$XFD$157" dn="Z_E81D05A4_5B21_42D3_A8D3_906ABCABC0F4_.wvu.Rows" sId="5"/>
    <undo index="4" exp="area" ref3D="1" dr="$A$19:$XFD$19" dn="Z_E81D05A4_5B21_42D3_A8D3_906ABCABC0F4_.wvu.Rows" sId="5"/>
    <undo index="2" exp="area" ref3D="1" dr="$A$14:$XFD$14" dn="Z_E81D05A4_5B21_42D3_A8D3_906ABCABC0F4_.wvu.Rows" sId="5"/>
    <undo index="1" exp="area" ref3D="1" dr="$A$1:$XFD$3" dn="Z_E81D05A4_5B21_42D3_A8D3_906ABCABC0F4_.wvu.Rows" sId="5"/>
    <undo index="2" exp="area" ref3D="1" dr="$A$228:$XFD$242" dn="Z_E44F5FE1_54FC_4AB3_84F9_7D65ACF2DDE7_.wvu.Rows" sId="5"/>
    <undo index="1" exp="area" ref3D="1" dr="$A$1:$XFD$3" dn="Z_E44F5FE1_54FC_4AB3_84F9_7D65ACF2DDE7_.wvu.Rows" sId="5"/>
    <undo index="2" exp="area" ref3D="1" dr="$A$228:$XFD$242" dn="Z_AEFEB150_9213_45F5_A178_7AC71E46DB11_.wvu.Rows" sId="5"/>
    <undo index="1" exp="area" ref3D="1" dr="$A$1:$XFD$3" dn="Z_AEFEB150_9213_45F5_A178_7AC71E46DB11_.wvu.Rows" sId="5"/>
    <undo index="10" exp="area" ref3D="1" dr="$A$228:$XFD$242" dn="Z_A2518DB3_3A80_4035_9307_EC50A7C923F2_.wvu.Rows" sId="5"/>
    <undo index="8" exp="area" ref3D="1" dr="$A$164:$XFD$164" dn="Z_A2518DB3_3A80_4035_9307_EC50A7C923F2_.wvu.Rows" sId="5"/>
    <undo index="6" exp="area" ref3D="1" dr="$A$157:$XFD$157" dn="Z_A2518DB3_3A80_4035_9307_EC50A7C923F2_.wvu.Rows" sId="5"/>
    <undo index="4" exp="area" ref3D="1" dr="$A$19:$XFD$19" dn="Z_A2518DB3_3A80_4035_9307_EC50A7C923F2_.wvu.Rows" sId="5"/>
    <undo index="2" exp="area" ref3D="1" dr="$A$14:$XFD$14" dn="Z_A2518DB3_3A80_4035_9307_EC50A7C923F2_.wvu.Rows" sId="5"/>
    <undo index="1" exp="area" ref3D="1" dr="$A$1:$XFD$3" dn="Z_A2518DB3_3A80_4035_9307_EC50A7C923F2_.wvu.Rows" sId="5"/>
    <undo index="12" exp="area" ref3D="1" dr="$A$228:$XFD$242" dn="Z_9D4F0482_B164_4671_805A_E0D2D4DD4720_.wvu.Rows" sId="5"/>
    <undo index="10" exp="area" ref3D="1" dr="$A$164:$XFD$164" dn="Z_9D4F0482_B164_4671_805A_E0D2D4DD4720_.wvu.Rows" sId="5"/>
    <undo index="8" exp="area" ref3D="1" dr="$A$157:$XFD$157" dn="Z_9D4F0482_B164_4671_805A_E0D2D4DD4720_.wvu.Rows" sId="5"/>
    <undo index="6" exp="area" ref3D="1" dr="$A$149:$XFD$149" dn="Z_9D4F0482_B164_4671_805A_E0D2D4DD4720_.wvu.Rows" sId="5"/>
    <undo index="4" exp="area" ref3D="1" dr="$A$19:$XFD$19" dn="Z_9D4F0482_B164_4671_805A_E0D2D4DD4720_.wvu.Rows" sId="5"/>
    <undo index="2" exp="area" ref3D="1" dr="$A$14:$XFD$14" dn="Z_9D4F0482_B164_4671_805A_E0D2D4DD4720_.wvu.Rows" sId="5"/>
    <undo index="1" exp="area" ref3D="1" dr="$A$1:$XFD$3" dn="Z_9D4F0482_B164_4671_805A_E0D2D4DD4720_.wvu.Rows" sId="5"/>
    <undo index="2" exp="area" ref3D="1" dr="$A$228:$XFD$242" dn="Z_94DA13B6_7351_40F3_8CF7_A4211EC439DA_.wvu.Rows" sId="5"/>
    <undo index="1" exp="area" ref3D="1" dr="$A$1:$XFD$3" dn="Z_94DA13B6_7351_40F3_8CF7_A4211EC439DA_.wvu.Rows" sId="5"/>
    <undo index="2" exp="area" ref3D="1" dr="$A$228:$XFD$242" dn="Z_8F508F4D_4777_42BE_9707_8CB9355F7BDB_.wvu.Rows" sId="5"/>
    <undo index="1" exp="area" ref3D="1" dr="$A$1:$XFD$3" dn="Z_8F508F4D_4777_42BE_9707_8CB9355F7BDB_.wvu.Rows" sId="5"/>
    <undo index="10" exp="area" ref3D="1" dr="$A$228:$XFD$242" dn="Z_78CA186D_B240_44D5_8A24_D241DE0B0FD9_.wvu.Rows" sId="5"/>
    <undo index="8" exp="area" ref3D="1" dr="$A$164:$XFD$164" dn="Z_78CA186D_B240_44D5_8A24_D241DE0B0FD9_.wvu.Rows" sId="5"/>
    <undo index="6" exp="area" ref3D="1" dr="$A$157:$XFD$157" dn="Z_78CA186D_B240_44D5_8A24_D241DE0B0FD9_.wvu.Rows" sId="5"/>
    <undo index="4" exp="area" ref3D="1" dr="$A$19:$XFD$19" dn="Z_78CA186D_B240_44D5_8A24_D241DE0B0FD9_.wvu.Rows" sId="5"/>
    <undo index="2" exp="area" ref3D="1" dr="$A$14:$XFD$14" dn="Z_78CA186D_B240_44D5_8A24_D241DE0B0FD9_.wvu.Rows" sId="5"/>
    <undo index="1" exp="area" ref3D="1" dr="$A$1:$XFD$3" dn="Z_78CA186D_B240_44D5_8A24_D241DE0B0FD9_.wvu.Rows" sId="5"/>
    <undo index="4" exp="area" ref3D="1" dr="$BS$1:$BZ$1048576" dn="Z_78CA186D_B240_44D5_8A24_D241DE0B0FD9_.wvu.Cols" sId="5"/>
    <undo index="2" exp="area" ref3D="1" dr="$A$228:$XFD$242" dn="Z_567C3053_2D8E_4705_8DC7_18896C5303CA_.wvu.Rows" sId="5"/>
    <undo index="1" exp="area" ref3D="1" dr="$A$1:$XFD$3" dn="Z_567C3053_2D8E_4705_8DC7_18896C5303CA_.wvu.Rows" sId="5"/>
    <undo index="10" exp="area" ref3D="1" dr="$A$228:$XFD$242" dn="Z_50528D02_548E_47E0_94D7_D1E79CD3569C_.wvu.Rows" sId="5"/>
    <undo index="8" exp="area" ref3D="1" dr="$A$164:$XFD$164" dn="Z_50528D02_548E_47E0_94D7_D1E79CD3569C_.wvu.Rows" sId="5"/>
    <undo index="6" exp="area" ref3D="1" dr="$A$157:$XFD$157" dn="Z_50528D02_548E_47E0_94D7_D1E79CD3569C_.wvu.Rows" sId="5"/>
    <undo index="4" exp="area" ref3D="1" dr="$A$19:$XFD$19" dn="Z_50528D02_548E_47E0_94D7_D1E79CD3569C_.wvu.Rows" sId="5"/>
    <undo index="2" exp="area" ref3D="1" dr="$A$14:$XFD$14" dn="Z_50528D02_548E_47E0_94D7_D1E79CD3569C_.wvu.Rows" sId="5"/>
    <undo index="1" exp="area" ref3D="1" dr="$A$1:$XFD$3" dn="Z_50528D02_548E_47E0_94D7_D1E79CD3569C_.wvu.Rows" sId="5"/>
    <undo index="10" exp="area" ref3D="1" dr="$A$228:$XFD$242" dn="Z_455630F5_40FC_47DB_8AD4_712C20B8FB91_.wvu.Rows" sId="5"/>
    <undo index="8" exp="area" ref3D="1" dr="$A$164:$XFD$164" dn="Z_455630F5_40FC_47DB_8AD4_712C20B8FB91_.wvu.Rows" sId="5"/>
    <undo index="6" exp="area" ref3D="1" dr="$A$157:$XFD$157" dn="Z_455630F5_40FC_47DB_8AD4_712C20B8FB91_.wvu.Rows" sId="5"/>
    <undo index="4" exp="area" ref3D="1" dr="$A$19:$XFD$19" dn="Z_455630F5_40FC_47DB_8AD4_712C20B8FB91_.wvu.Rows" sId="5"/>
    <undo index="2" exp="area" ref3D="1" dr="$A$14:$XFD$14" dn="Z_455630F5_40FC_47DB_8AD4_712C20B8FB91_.wvu.Rows" sId="5"/>
    <undo index="1" exp="area" ref3D="1" dr="$A$1:$XFD$3" dn="Z_455630F5_40FC_47DB_8AD4_712C20B8FB91_.wvu.Rows" sId="5"/>
    <undo index="2" exp="area" ref3D="1" dr="$A$228:$XFD$242" dn="Z_1E5198E1_BA46_4CE0_8628_4F695B0D7A3B_.wvu.Rows" sId="5"/>
    <undo index="1" exp="area" ref3D="1" dr="$A$1:$XFD$3" dn="Z_1E5198E1_BA46_4CE0_8628_4F695B0D7A3B_.wvu.Rows" sId="5"/>
  </rrc>
  <rcc rId="43789" sId="5" odxf="1" dxf="1">
    <nc r="BY4" t="inlineStr">
      <is>
        <t>FY 2013</t>
      </is>
    </nc>
    <odxf>
      <numFmt numFmtId="0" formatCode="General"/>
      <fill>
        <patternFill>
          <bgColor rgb="FF00BCB8"/>
        </patternFill>
      </fill>
      <border outline="0">
        <left style="thin">
          <color indexed="64"/>
        </left>
        <right style="thin">
          <color auto="1"/>
        </right>
        <top style="thin">
          <color auto="1"/>
        </top>
        <bottom style="thin">
          <color auto="1"/>
        </bottom>
      </border>
    </odxf>
    <ndxf>
      <numFmt numFmtId="165" formatCode="&quot;$&quot;#,##0"/>
      <fill>
        <patternFill>
          <bgColor rgb="FFFFFF00"/>
        </patternFill>
      </fill>
      <border outline="0">
        <left/>
        <right/>
        <top/>
        <bottom style="medium">
          <color indexed="64"/>
        </bottom>
      </border>
    </ndxf>
  </rcc>
  <rcc rId="43790" sId="5" odxf="1" dxf="1">
    <nc r="BY5" t="inlineStr">
      <is>
        <t>Approved</t>
      </is>
    </nc>
    <odxf>
      <numFmt numFmtId="0" formatCode="General"/>
      <fill>
        <patternFill>
          <bgColor rgb="FF00BCB8"/>
        </patternFill>
      </fill>
      <border outline="0">
        <left style="thin">
          <color indexed="64"/>
        </left>
        <right style="thin">
          <color auto="1"/>
        </right>
        <top style="thin">
          <color auto="1"/>
        </top>
        <bottom style="thin">
          <color auto="1"/>
        </bottom>
      </border>
    </odxf>
    <ndxf>
      <numFmt numFmtId="165" formatCode="&quot;$&quot;#,##0"/>
      <fill>
        <patternFill>
          <bgColor rgb="FFFFFF00"/>
        </patternFill>
      </fill>
      <border outline="0">
        <left/>
        <right/>
        <top/>
        <bottom style="medium">
          <color indexed="64"/>
        </bottom>
      </border>
    </ndxf>
  </rcc>
  <rfmt sheetId="5" sqref="BY6" start="0" length="0">
    <dxf>
      <font/>
      <numFmt numFmtId="165" formatCode="&quot;$&quot;#,##0"/>
    </dxf>
  </rfmt>
  <rcc rId="43791" sId="5" odxf="1" dxf="1" numFmtId="11">
    <nc r="BY7">
      <v>21007</v>
    </nc>
    <odxf>
      <font/>
      <fill>
        <patternFill patternType="none">
          <bgColor indexed="65"/>
        </patternFill>
      </fill>
    </odxf>
    <ndxf>
      <font/>
      <fill>
        <patternFill patternType="solid">
          <bgColor theme="0"/>
        </patternFill>
      </fill>
    </ndxf>
  </rcc>
  <rcc rId="43792" sId="5" odxf="1" dxf="1" numFmtId="11">
    <nc r="BY8">
      <v>3951</v>
    </nc>
    <odxf>
      <font/>
      <fill>
        <patternFill patternType="none">
          <bgColor indexed="65"/>
        </patternFill>
      </fill>
    </odxf>
    <ndxf>
      <font/>
      <fill>
        <patternFill patternType="solid">
          <bgColor theme="0"/>
        </patternFill>
      </fill>
    </ndxf>
  </rcc>
  <rcc rId="43793" sId="5" odxf="1" dxf="1" numFmtId="11">
    <nc r="BY9">
      <v>894</v>
    </nc>
    <odxf>
      <font/>
      <fill>
        <patternFill patternType="none">
          <bgColor indexed="65"/>
        </patternFill>
      </fill>
    </odxf>
    <ndxf>
      <font/>
      <fill>
        <patternFill patternType="solid">
          <bgColor theme="0"/>
        </patternFill>
      </fill>
    </ndxf>
  </rcc>
  <rcc rId="43794" sId="5" odxf="1" dxf="1" numFmtId="11">
    <nc r="BY10">
      <v>8435</v>
    </nc>
    <odxf>
      <font/>
      <fill>
        <patternFill patternType="none">
          <bgColor indexed="65"/>
        </patternFill>
      </fill>
    </odxf>
    <ndxf>
      <font/>
      <fill>
        <patternFill patternType="solid">
          <bgColor theme="0"/>
        </patternFill>
      </fill>
    </ndxf>
  </rcc>
  <rcc rId="43795" sId="5" odxf="1" dxf="1" numFmtId="11">
    <nc r="BY11">
      <v>0</v>
    </nc>
    <odxf>
      <font/>
      <fill>
        <patternFill patternType="none">
          <bgColor indexed="65"/>
        </patternFill>
      </fill>
    </odxf>
    <ndxf>
      <font/>
      <fill>
        <patternFill patternType="solid">
          <bgColor theme="0"/>
        </patternFill>
      </fill>
    </ndxf>
  </rcc>
  <rcc rId="43796" sId="5" odxf="1" dxf="1" numFmtId="11">
    <nc r="BY12">
      <v>0</v>
    </nc>
    <odxf>
      <font/>
      <fill>
        <patternFill patternType="none">
          <bgColor indexed="65"/>
        </patternFill>
      </fill>
    </odxf>
    <ndxf>
      <font/>
      <fill>
        <patternFill patternType="solid">
          <bgColor theme="0"/>
        </patternFill>
      </fill>
    </ndxf>
  </rcc>
  <rcc rId="43797" sId="5" odxf="1" dxf="1" numFmtId="11">
    <nc r="BY13">
      <v>3246</v>
    </nc>
    <odxf>
      <font/>
      <fill>
        <patternFill patternType="none">
          <bgColor indexed="65"/>
        </patternFill>
      </fill>
    </odxf>
    <ndxf>
      <font/>
      <fill>
        <patternFill patternType="solid">
          <bgColor theme="0"/>
        </patternFill>
      </fill>
    </ndxf>
  </rcc>
  <rcc rId="43798" sId="5" odxf="1" dxf="1" numFmtId="11">
    <nc r="BY14">
      <v>0</v>
    </nc>
    <odxf>
      <font/>
      <fill>
        <patternFill patternType="none">
          <bgColor indexed="65"/>
        </patternFill>
      </fill>
    </odxf>
    <ndxf>
      <font/>
      <fill>
        <patternFill patternType="solid">
          <bgColor theme="0"/>
        </patternFill>
      </fill>
    </ndxf>
  </rcc>
  <rcc rId="43799" sId="5" odxf="1" dxf="1" numFmtId="11">
    <nc r="BY15">
      <v>3401</v>
    </nc>
    <odxf>
      <font/>
      <fill>
        <patternFill patternType="none">
          <bgColor indexed="65"/>
        </patternFill>
      </fill>
    </odxf>
    <ndxf>
      <font/>
      <fill>
        <patternFill patternType="solid">
          <bgColor theme="0"/>
        </patternFill>
      </fill>
    </ndxf>
  </rcc>
  <rcc rId="43800" sId="5" odxf="1" dxf="1" numFmtId="11">
    <nc r="BY16">
      <v>2962</v>
    </nc>
    <odxf>
      <font/>
      <fill>
        <patternFill patternType="none">
          <bgColor indexed="65"/>
        </patternFill>
      </fill>
    </odxf>
    <ndxf>
      <font/>
      <fill>
        <patternFill patternType="solid">
          <bgColor theme="0"/>
        </patternFill>
      </fill>
    </ndxf>
  </rcc>
  <rcc rId="43801" sId="5" odxf="1" dxf="1" numFmtId="11">
    <nc r="BY17">
      <v>0</v>
    </nc>
    <odxf>
      <font/>
      <fill>
        <patternFill patternType="none">
          <bgColor indexed="65"/>
        </patternFill>
      </fill>
    </odxf>
    <ndxf>
      <font/>
      <fill>
        <patternFill patternType="solid">
          <bgColor theme="0"/>
        </patternFill>
      </fill>
    </ndxf>
  </rcc>
  <rcc rId="43802" sId="5" odxf="1" dxf="1" numFmtId="11">
    <nc r="BY18">
      <v>7814</v>
    </nc>
    <odxf>
      <font/>
      <fill>
        <patternFill patternType="none">
          <bgColor indexed="65"/>
        </patternFill>
      </fill>
    </odxf>
    <ndxf>
      <font/>
      <fill>
        <patternFill patternType="solid">
          <bgColor theme="0"/>
        </patternFill>
      </fill>
    </ndxf>
  </rcc>
  <rcc rId="43803" sId="5" odxf="1" dxf="1" numFmtId="11">
    <nc r="BY19">
      <v>0</v>
    </nc>
    <odxf>
      <font/>
      <fill>
        <patternFill patternType="none">
          <bgColor indexed="65"/>
        </patternFill>
      </fill>
    </odxf>
    <ndxf>
      <font/>
      <fill>
        <patternFill patternType="solid">
          <bgColor theme="0"/>
        </patternFill>
      </fill>
    </ndxf>
  </rcc>
  <rcc rId="43804" sId="5" odxf="1" dxf="1" numFmtId="11">
    <nc r="BY20">
      <v>970</v>
    </nc>
    <odxf>
      <font/>
      <fill>
        <patternFill patternType="none">
          <bgColor indexed="65"/>
        </patternFill>
      </fill>
    </odxf>
    <ndxf>
      <font/>
      <fill>
        <patternFill patternType="solid">
          <bgColor theme="0"/>
        </patternFill>
      </fill>
    </ndxf>
  </rcc>
  <rcc rId="43805" sId="5" odxf="1" dxf="1">
    <nc r="BY21">
      <f>19667-1360</f>
    </nc>
    <odxf>
      <font/>
      <fill>
        <patternFill patternType="none">
          <bgColor indexed="65"/>
        </patternFill>
      </fill>
    </odxf>
    <ndxf>
      <font/>
      <fill>
        <patternFill patternType="solid">
          <bgColor theme="0"/>
        </patternFill>
      </fill>
    </ndxf>
  </rcc>
  <rcc rId="43806" sId="5" odxf="1" dxf="1" numFmtId="11">
    <nc r="BY22">
      <v>0</v>
    </nc>
    <odxf>
      <font/>
      <fill>
        <patternFill patternType="none">
          <bgColor indexed="65"/>
        </patternFill>
      </fill>
    </odxf>
    <ndxf>
      <font/>
      <fill>
        <patternFill patternType="solid">
          <bgColor theme="0"/>
        </patternFill>
      </fill>
    </ndxf>
  </rcc>
  <rcc rId="43807" sId="5" odxf="1" dxf="1" numFmtId="11">
    <nc r="BY23">
      <v>8971</v>
    </nc>
    <odxf>
      <font/>
      <fill>
        <patternFill patternType="none">
          <bgColor indexed="65"/>
        </patternFill>
      </fill>
    </odxf>
    <ndxf>
      <font/>
      <fill>
        <patternFill patternType="solid">
          <bgColor theme="0"/>
        </patternFill>
      </fill>
    </ndxf>
  </rcc>
  <rcc rId="43808" sId="5" odxf="1" dxf="1" numFmtId="11">
    <nc r="BY24">
      <v>50917</v>
    </nc>
    <odxf>
      <font/>
      <fill>
        <patternFill patternType="none">
          <bgColor indexed="65"/>
        </patternFill>
      </fill>
    </odxf>
    <ndxf>
      <font/>
      <fill>
        <patternFill patternType="solid">
          <bgColor theme="0"/>
        </patternFill>
      </fill>
    </ndxf>
  </rcc>
  <rcc rId="43809" sId="5" odxf="1" dxf="1">
    <nc r="BY25">
      <f>250917-47782-9794</f>
    </nc>
    <odxf>
      <font/>
      <fill>
        <patternFill patternType="none">
          <bgColor indexed="65"/>
        </patternFill>
      </fill>
    </odxf>
    <ndxf>
      <font/>
      <fill>
        <patternFill patternType="solid">
          <bgColor theme="0"/>
        </patternFill>
      </fill>
    </ndxf>
  </rcc>
  <rcc rId="43810" sId="5" odxf="1" dxf="1" numFmtId="11">
    <nc r="BY26">
      <v>1051</v>
    </nc>
    <odxf>
      <font/>
      <fill>
        <patternFill patternType="none">
          <bgColor indexed="65"/>
        </patternFill>
      </fill>
    </odxf>
    <ndxf>
      <font/>
      <fill>
        <patternFill patternType="solid">
          <bgColor theme="0"/>
        </patternFill>
      </fill>
    </ndxf>
  </rcc>
  <rcc rId="43811" sId="5" odxf="1" dxf="1" numFmtId="11">
    <nc r="BY27">
      <v>5812</v>
    </nc>
    <odxf>
      <font/>
      <fill>
        <patternFill patternType="none">
          <bgColor indexed="65"/>
        </patternFill>
      </fill>
    </odxf>
    <ndxf>
      <font/>
      <fill>
        <patternFill patternType="solid">
          <bgColor theme="0"/>
        </patternFill>
      </fill>
    </ndxf>
  </rcc>
  <rcc rId="43812" sId="5" odxf="1" dxf="1" numFmtId="11">
    <nc r="BY28">
      <v>2601</v>
    </nc>
    <odxf>
      <font/>
      <fill>
        <patternFill patternType="none">
          <bgColor indexed="65"/>
        </patternFill>
      </fill>
    </odxf>
    <ndxf>
      <font/>
      <fill>
        <patternFill patternType="solid">
          <bgColor theme="0"/>
        </patternFill>
      </fill>
    </ndxf>
  </rcc>
  <rcc rId="43813" sId="5" odxf="1" dxf="1" numFmtId="11">
    <nc r="BY29">
      <v>1151</v>
    </nc>
    <odxf>
      <font/>
      <fill>
        <patternFill patternType="none">
          <bgColor indexed="65"/>
        </patternFill>
      </fill>
    </odxf>
    <ndxf>
      <font/>
      <fill>
        <patternFill patternType="solid">
          <bgColor theme="0"/>
        </patternFill>
      </fill>
    </ndxf>
  </rcc>
  <rcc rId="43814" sId="5" odxf="1" dxf="1" numFmtId="11">
    <nc r="BY30">
      <v>1468</v>
    </nc>
    <odxf>
      <font/>
      <fill>
        <patternFill patternType="none">
          <bgColor indexed="65"/>
        </patternFill>
      </fill>
    </odxf>
    <ndxf>
      <font/>
      <fill>
        <patternFill patternType="solid">
          <bgColor theme="0"/>
        </patternFill>
      </fill>
    </ndxf>
  </rcc>
  <rcc rId="43815" sId="5" odxf="1" dxf="1" numFmtId="11">
    <nc r="BY31">
      <v>408</v>
    </nc>
    <odxf>
      <font/>
      <fill>
        <patternFill patternType="none">
          <bgColor indexed="65"/>
        </patternFill>
      </fill>
    </odxf>
    <ndxf>
      <font/>
      <fill>
        <patternFill patternType="solid">
          <bgColor theme="0"/>
        </patternFill>
      </fill>
    </ndxf>
  </rcc>
  <rcc rId="43816" sId="5" odxf="1" dxf="1" numFmtId="11">
    <nc r="BY32">
      <v>60498</v>
    </nc>
    <odxf>
      <font/>
      <fill>
        <patternFill patternType="none">
          <bgColor indexed="65"/>
        </patternFill>
      </fill>
    </odxf>
    <ndxf>
      <font/>
      <fill>
        <patternFill patternType="solid">
          <bgColor theme="0"/>
        </patternFill>
      </fill>
    </ndxf>
  </rcc>
  <rcc rId="43817" sId="5" odxf="1" dxf="1" numFmtId="11">
    <nc r="BY33">
      <v>13308</v>
    </nc>
    <odxf>
      <font/>
      <fill>
        <patternFill patternType="none">
          <bgColor indexed="65"/>
        </patternFill>
      </fill>
    </odxf>
    <ndxf>
      <font/>
      <fill>
        <patternFill patternType="solid">
          <bgColor theme="0"/>
        </patternFill>
      </fill>
    </ndxf>
  </rcc>
  <rcc rId="43818" sId="5" odxf="1" dxf="1">
    <nc r="BY34">
      <f>129445-2200</f>
    </nc>
    <odxf>
      <font/>
      <fill>
        <patternFill patternType="none">
          <bgColor indexed="65"/>
        </patternFill>
      </fill>
    </odxf>
    <ndxf>
      <font/>
      <fill>
        <patternFill patternType="solid">
          <bgColor theme="0"/>
        </patternFill>
      </fill>
    </ndxf>
  </rcc>
  <rcc rId="43819" sId="5" odxf="1" dxf="1" numFmtId="11">
    <nc r="BY35">
      <v>2430</v>
    </nc>
    <odxf>
      <font/>
      <fill>
        <patternFill patternType="none">
          <bgColor indexed="65"/>
        </patternFill>
      </fill>
    </odxf>
    <ndxf>
      <font/>
      <fill>
        <patternFill patternType="solid">
          <bgColor theme="0"/>
        </patternFill>
      </fill>
    </ndxf>
  </rcc>
  <rcc rId="43820" sId="5" odxf="1" dxf="1" numFmtId="11">
    <nc r="BY36">
      <v>0</v>
    </nc>
    <odxf>
      <font/>
      <fill>
        <patternFill patternType="none">
          <bgColor indexed="65"/>
        </patternFill>
      </fill>
    </odxf>
    <ndxf>
      <font/>
      <fill>
        <patternFill patternType="solid">
          <bgColor theme="0"/>
        </patternFill>
      </fill>
    </ndxf>
  </rcc>
  <rcc rId="43821" sId="5" odxf="1" dxf="1" numFmtId="11">
    <nc r="BY37">
      <v>0</v>
    </nc>
    <odxf>
      <font/>
      <fill>
        <patternFill patternType="none">
          <bgColor indexed="65"/>
        </patternFill>
      </fill>
    </odxf>
    <ndxf>
      <font/>
      <fill>
        <patternFill patternType="solid">
          <bgColor theme="0"/>
        </patternFill>
      </fill>
    </ndxf>
  </rcc>
  <rfmt sheetId="5" sqref="BY38" start="0" length="0">
    <dxf>
      <font/>
      <fill>
        <patternFill patternType="solid">
          <bgColor theme="0"/>
        </patternFill>
      </fill>
    </dxf>
  </rfmt>
  <rfmt sheetId="5" sqref="BY39" start="0" length="0">
    <dxf>
      <font/>
    </dxf>
  </rfmt>
  <rcc rId="43822" sId="5" odxf="1" dxf="1" numFmtId="11">
    <nc r="BY40">
      <v>1039</v>
    </nc>
    <odxf>
      <font/>
    </odxf>
    <ndxf>
      <font/>
    </ndxf>
  </rcc>
  <rcc rId="43823" sId="5" odxf="1" dxf="1">
    <nc r="BY41">
      <f>SUM(BY7:BY40)</f>
    </nc>
    <odxf>
      <numFmt numFmtId="10" formatCode="&quot;$&quot;#,##0_);[Red]\(&quot;$&quot;#,##0\)"/>
    </odxf>
    <ndxf>
      <numFmt numFmtId="165" formatCode="&quot;$&quot;#,##0"/>
    </ndxf>
  </rcc>
  <rfmt sheetId="5" sqref="BY42" start="0" length="0">
    <dxf>
      <font>
        <b val="0"/>
      </font>
      <numFmt numFmtId="165" formatCode="&quot;$&quot;#,##0"/>
    </dxf>
  </rfmt>
  <rfmt sheetId="5" sqref="BY43" start="0" length="0">
    <dxf>
      <font>
        <b val="0"/>
      </font>
      <numFmt numFmtId="165" formatCode="&quot;$&quot;#,##0"/>
    </dxf>
  </rfmt>
  <rfmt sheetId="5" sqref="BY44" start="0" length="0">
    <dxf>
      <font>
        <b val="0"/>
      </font>
      <numFmt numFmtId="165" formatCode="&quot;$&quot;#,##0"/>
    </dxf>
  </rfmt>
  <rfmt sheetId="5" sqref="BY45" start="0" length="0">
    <dxf>
      <font>
        <b val="0"/>
      </font>
      <numFmt numFmtId="165" formatCode="&quot;$&quot;#,##0"/>
    </dxf>
  </rfmt>
  <rfmt sheetId="5" sqref="BY46" start="0" length="0">
    <dxf>
      <font>
        <b val="0"/>
      </font>
      <numFmt numFmtId="165" formatCode="&quot;$&quot;#,##0"/>
    </dxf>
  </rfmt>
  <rfmt sheetId="5" sqref="BY47" start="0" length="0">
    <dxf>
      <font>
        <b val="0"/>
      </font>
      <numFmt numFmtId="165" formatCode="&quot;$&quot;#,##0"/>
    </dxf>
  </rfmt>
  <rfmt sheetId="5" sqref="BY48" start="0" length="0">
    <dxf>
      <font/>
      <numFmt numFmtId="165" formatCode="&quot;$&quot;#,##0"/>
    </dxf>
  </rfmt>
  <rfmt sheetId="5" sqref="BY49" start="0" length="0">
    <dxf>
      <font/>
      <numFmt numFmtId="165" formatCode="&quot;$&quot;#,##0"/>
    </dxf>
  </rfmt>
  <rfmt sheetId="5" sqref="BY50" start="0" length="0">
    <dxf>
      <font/>
      <numFmt numFmtId="165" formatCode="&quot;$&quot;#,##0"/>
    </dxf>
  </rfmt>
  <rcc rId="43824" sId="5" odxf="1" dxf="1" numFmtId="11">
    <nc r="BY51">
      <v>29184</v>
    </nc>
    <odxf>
      <font/>
    </odxf>
    <ndxf>
      <font/>
    </ndxf>
  </rcc>
  <rcc rId="43825" sId="5" odxf="1" dxf="1" numFmtId="11">
    <nc r="BY52">
      <v>6589</v>
    </nc>
    <odxf>
      <font/>
    </odxf>
    <ndxf>
      <font/>
    </ndxf>
  </rcc>
  <rcc rId="43826" sId="5" odxf="1" dxf="1" numFmtId="11">
    <nc r="BY53">
      <v>5276</v>
    </nc>
    <odxf>
      <font/>
    </odxf>
    <ndxf>
      <font/>
    </ndxf>
  </rcc>
  <rcc rId="43827" sId="5" odxf="1" dxf="1" numFmtId="11">
    <nc r="BY54">
      <v>869</v>
    </nc>
    <odxf>
      <font/>
    </odxf>
    <ndxf>
      <font/>
    </ndxf>
  </rcc>
  <rcc rId="43828" sId="5" odxf="1" dxf="1" numFmtId="11">
    <nc r="BY55">
      <v>2596</v>
    </nc>
    <odxf>
      <font/>
    </odxf>
    <ndxf>
      <font/>
    </ndxf>
  </rcc>
  <rcc rId="43829" sId="5" odxf="1" dxf="1" numFmtId="11">
    <nc r="BY56">
      <v>19091</v>
    </nc>
    <odxf>
      <font/>
    </odxf>
    <ndxf>
      <font/>
    </ndxf>
  </rcc>
  <rcc rId="43830" sId="5" odxf="1" dxf="1" numFmtId="11">
    <nc r="BY57">
      <v>14213</v>
    </nc>
    <odxf>
      <font/>
    </odxf>
    <ndxf>
      <font/>
    </ndxf>
  </rcc>
  <rcc rId="43831" sId="5" odxf="1" dxf="1" numFmtId="11">
    <nc r="BY58">
      <v>78332</v>
    </nc>
    <odxf>
      <font/>
    </odxf>
    <ndxf>
      <font/>
    </ndxf>
  </rcc>
  <rcc rId="43832" sId="5" odxf="1" dxf="1" numFmtId="11">
    <nc r="BY59">
      <v>0</v>
    </nc>
    <odxf>
      <font/>
    </odxf>
    <ndxf>
      <font/>
    </ndxf>
  </rcc>
  <rcc rId="43833" sId="5" odxf="1" dxf="1" numFmtId="11">
    <nc r="BY60">
      <v>1663</v>
    </nc>
    <odxf>
      <font/>
    </odxf>
    <ndxf>
      <font/>
    </ndxf>
  </rcc>
  <rcc rId="43834" sId="5" odxf="1" dxf="1" numFmtId="11">
    <nc r="BY61">
      <v>32952</v>
    </nc>
    <odxf>
      <font/>
    </odxf>
    <ndxf>
      <font/>
    </ndxf>
  </rcc>
  <rcc rId="43835" sId="5" odxf="1" dxf="1" numFmtId="11">
    <nc r="BY62">
      <v>2064</v>
    </nc>
    <odxf>
      <font/>
    </odxf>
    <ndxf>
      <font/>
    </ndxf>
  </rcc>
  <rcc rId="43836" sId="5" odxf="1" dxf="1" numFmtId="11">
    <nc r="BY63">
      <v>11190</v>
    </nc>
    <odxf>
      <font/>
    </odxf>
    <ndxf>
      <font/>
    </ndxf>
  </rcc>
  <rcc rId="43837" sId="5" odxf="1" dxf="1" numFmtId="11">
    <nc r="BY64">
      <v>6835</v>
    </nc>
    <odxf>
      <font/>
    </odxf>
    <ndxf>
      <font/>
    </ndxf>
  </rcc>
  <rfmt sheetId="5" sqref="BY65" start="0" length="0">
    <dxf>
      <font/>
    </dxf>
  </rfmt>
  <rcc rId="43838" sId="5" odxf="1" dxf="1" numFmtId="11">
    <nc r="BY66">
      <v>10360</v>
    </nc>
    <odxf>
      <font/>
    </odxf>
    <ndxf>
      <font/>
    </ndxf>
  </rcc>
  <rcc rId="43839" sId="5" odxf="1" dxf="1" numFmtId="11">
    <nc r="BY67">
      <v>6116</v>
    </nc>
    <odxf>
      <font/>
    </odxf>
    <ndxf>
      <font/>
    </ndxf>
  </rcc>
  <rcc rId="43840" sId="5" odxf="1" dxf="1" numFmtId="11">
    <nc r="BY68">
      <v>17868</v>
    </nc>
    <odxf>
      <font/>
    </odxf>
    <ndxf>
      <font/>
    </ndxf>
  </rcc>
  <rcc rId="43841" sId="5" odxf="1" dxf="1" numFmtId="11">
    <nc r="BY69">
      <v>8592</v>
    </nc>
    <odxf>
      <font/>
    </odxf>
    <ndxf>
      <font/>
    </ndxf>
  </rcc>
  <rfmt sheetId="5" sqref="BY70" start="0" length="0">
    <dxf>
      <font/>
    </dxf>
  </rfmt>
  <rcc rId="43842" sId="5" odxf="1" dxf="1" numFmtId="11">
    <nc r="BY71">
      <v>15000</v>
    </nc>
    <odxf>
      <font/>
    </odxf>
    <ndxf>
      <font/>
    </ndxf>
  </rcc>
  <rfmt sheetId="5" sqref="BY72" start="0" length="0">
    <dxf>
      <font/>
    </dxf>
  </rfmt>
  <rcc rId="43843" sId="5" odxf="1" dxf="1">
    <nc r="BY73">
      <v>23000</v>
    </nc>
    <odxf>
      <font/>
      <numFmt numFmtId="165" formatCode="&quot;$&quot;#,##0"/>
      <border outline="0">
        <bottom/>
      </border>
    </odxf>
    <ndxf>
      <font/>
      <numFmt numFmtId="0" formatCode="General"/>
      <border outline="0">
        <bottom style="medium">
          <color indexed="64"/>
        </bottom>
      </border>
    </ndxf>
  </rcc>
  <rcc rId="43844" sId="5" odxf="1" dxf="1">
    <nc r="BY74">
      <f>SUM(BY51:BY73)</f>
    </nc>
    <odxf>
      <numFmt numFmtId="10" formatCode="&quot;$&quot;#,##0_);[Red]\(&quot;$&quot;#,##0\)"/>
    </odxf>
    <ndxf>
      <numFmt numFmtId="165" formatCode="&quot;$&quot;#,##0"/>
    </ndxf>
  </rcc>
  <rfmt sheetId="5" sqref="BY75" start="0" length="0">
    <dxf>
      <font>
        <b val="0"/>
      </font>
      <numFmt numFmtId="165" formatCode="&quot;$&quot;#,##0"/>
    </dxf>
  </rfmt>
  <rfmt sheetId="5" sqref="BY76" start="0" length="0">
    <dxf>
      <font>
        <b val="0"/>
      </font>
      <numFmt numFmtId="165" formatCode="&quot;$&quot;#,##0"/>
    </dxf>
  </rfmt>
  <rfmt sheetId="5" sqref="BY77" start="0" length="0">
    <dxf>
      <font>
        <b val="0"/>
      </font>
      <numFmt numFmtId="165" formatCode="&quot;$&quot;#,##0"/>
    </dxf>
  </rfmt>
  <rfmt sheetId="5" sqref="BY78" start="0" length="0">
    <dxf>
      <font>
        <b val="0"/>
      </font>
      <numFmt numFmtId="165" formatCode="&quot;$&quot;#,##0"/>
    </dxf>
  </rfmt>
  <rfmt sheetId="5" sqref="BY79" start="0" length="0">
    <dxf>
      <font>
        <b val="0"/>
      </font>
      <numFmt numFmtId="165" formatCode="&quot;$&quot;#,##0"/>
    </dxf>
  </rfmt>
  <rfmt sheetId="5" sqref="BY80" start="0" length="0">
    <dxf>
      <font>
        <b val="0"/>
      </font>
      <numFmt numFmtId="165" formatCode="&quot;$&quot;#,##0"/>
    </dxf>
  </rfmt>
  <rfmt sheetId="5" sqref="BY81" start="0" length="0">
    <dxf>
      <font>
        <b val="0"/>
      </font>
      <numFmt numFmtId="165" formatCode="&quot;$&quot;#,##0"/>
    </dxf>
  </rfmt>
  <rfmt sheetId="5" sqref="BY82" start="0" length="0">
    <dxf>
      <font>
        <b val="0"/>
      </font>
      <numFmt numFmtId="165" formatCode="&quot;$&quot;#,##0"/>
    </dxf>
  </rfmt>
  <rfmt sheetId="5" sqref="BY83" start="0" length="0">
    <dxf>
      <font/>
      <numFmt numFmtId="165" formatCode="&quot;$&quot;#,##0"/>
    </dxf>
  </rfmt>
  <rfmt sheetId="5" sqref="BY84" start="0" length="0">
    <dxf>
      <font/>
      <numFmt numFmtId="165" formatCode="&quot;$&quot;#,##0"/>
    </dxf>
  </rfmt>
  <rcc rId="43845" sId="5" odxf="1" dxf="1" numFmtId="11">
    <nc r="BY85">
      <v>470926</v>
    </nc>
    <odxf>
      <font/>
    </odxf>
    <ndxf>
      <font/>
    </ndxf>
  </rcc>
  <rcc rId="43846" sId="5" odxf="1" dxf="1" numFmtId="11">
    <nc r="BY86">
      <v>199374</v>
    </nc>
    <odxf>
      <font/>
    </odxf>
    <ndxf>
      <font/>
    </ndxf>
  </rcc>
  <rcc rId="43847" sId="5" odxf="1" dxf="1" numFmtId="11">
    <nc r="BY87">
      <v>96314</v>
    </nc>
    <odxf>
      <font/>
    </odxf>
    <ndxf>
      <font/>
    </ndxf>
  </rcc>
  <rcc rId="43848" sId="5" odxf="1" dxf="1" numFmtId="11">
    <nc r="BY88">
      <v>139289</v>
    </nc>
    <odxf>
      <font/>
    </odxf>
    <ndxf>
      <font/>
    </ndxf>
  </rcc>
  <rcc rId="43849" sId="5" odxf="1" dxf="1" numFmtId="11">
    <nc r="BY89">
      <v>2796</v>
    </nc>
    <odxf>
      <font/>
    </odxf>
    <ndxf>
      <font/>
    </ndxf>
  </rcc>
  <rcc rId="43850" sId="5" odxf="1" dxf="1" numFmtId="11">
    <nc r="BY90">
      <v>2007</v>
    </nc>
    <odxf>
      <font/>
    </odxf>
    <ndxf>
      <font/>
    </ndxf>
  </rcc>
  <rfmt sheetId="5" sqref="BY91" start="0" length="0">
    <dxf>
      <font/>
    </dxf>
  </rfmt>
  <rfmt sheetId="5" sqref="BY92" start="0" length="0">
    <dxf>
      <font/>
    </dxf>
  </rfmt>
  <rfmt sheetId="5" sqref="BY93" start="0" length="0">
    <dxf>
      <font/>
    </dxf>
  </rfmt>
  <rcc rId="43851" sId="5" odxf="1" dxf="1" numFmtId="11">
    <nc r="BY94">
      <v>2091</v>
    </nc>
    <odxf>
      <font/>
    </odxf>
    <ndxf>
      <font/>
    </ndxf>
  </rcc>
  <rcc rId="43852" sId="5" odxf="1" dxf="1" numFmtId="11">
    <nc r="BY95">
      <v>1389</v>
    </nc>
    <odxf>
      <font/>
    </odxf>
    <ndxf>
      <font/>
    </ndxf>
  </rcc>
  <rcc rId="43853" sId="5" odxf="1" dxf="1" numFmtId="11">
    <nc r="BY96">
      <v>7834</v>
    </nc>
    <odxf>
      <font/>
    </odxf>
    <ndxf>
      <font/>
    </ndxf>
  </rcc>
  <rcc rId="43854" sId="5" odxf="1" dxf="1" numFmtId="11">
    <nc r="BY97">
      <v>7962</v>
    </nc>
    <odxf>
      <font/>
    </odxf>
    <ndxf>
      <font/>
    </ndxf>
  </rcc>
  <rfmt sheetId="5" sqref="BY98" start="0" length="0">
    <dxf>
      <font/>
    </dxf>
  </rfmt>
  <rcc rId="43855" sId="5" odxf="1" dxf="1" numFmtId="11">
    <nc r="BY99">
      <v>449</v>
    </nc>
    <odxf>
      <font/>
    </odxf>
    <ndxf>
      <font/>
    </ndxf>
  </rcc>
  <rfmt sheetId="5" sqref="BY100" start="0" length="0">
    <dxf>
      <font/>
    </dxf>
  </rfmt>
  <rfmt sheetId="5" sqref="BY101" start="0" length="0">
    <dxf>
      <font/>
    </dxf>
  </rfmt>
  <rfmt sheetId="5" sqref="BY102" start="0" length="0">
    <dxf>
      <font/>
    </dxf>
  </rfmt>
  <rfmt sheetId="5" sqref="BY103" start="0" length="0">
    <dxf>
      <font/>
    </dxf>
  </rfmt>
  <rcc rId="43856" sId="5" odxf="1" dxf="1" numFmtId="11">
    <nc r="BY104">
      <v>43540</v>
    </nc>
    <odxf>
      <font/>
    </odxf>
    <ndxf>
      <font/>
    </ndxf>
  </rcc>
  <rfmt sheetId="5" sqref="BY105" start="0" length="0">
    <dxf>
      <font/>
    </dxf>
  </rfmt>
  <rcc rId="43857" sId="5" odxf="1" dxf="1" numFmtId="11">
    <nc r="BY106">
      <v>1954</v>
    </nc>
    <odxf>
      <font/>
    </odxf>
    <ndxf>
      <font/>
    </ndxf>
  </rcc>
  <rcc rId="43858" sId="5" odxf="1" dxf="1" numFmtId="11">
    <nc r="BY107">
      <v>8505</v>
    </nc>
    <odxf>
      <font/>
    </odxf>
    <ndxf>
      <font/>
    </ndxf>
  </rcc>
  <rfmt sheetId="5" sqref="BY108" start="0" length="0">
    <dxf>
      <font/>
      <numFmt numFmtId="0" formatCode="General"/>
      <border outline="0">
        <bottom style="medium">
          <color indexed="64"/>
        </bottom>
      </border>
    </dxf>
  </rfmt>
  <rfmt sheetId="5" sqref="BY109" start="0" length="0">
    <dxf>
      <numFmt numFmtId="165" formatCode="&quot;$&quot;#,##0"/>
    </dxf>
  </rfmt>
  <rfmt sheetId="5" sqref="BY112" start="0" length="0">
    <dxf>
      <font>
        <b val="0"/>
      </font>
      <numFmt numFmtId="165" formatCode="&quot;$&quot;#,##0"/>
    </dxf>
  </rfmt>
  <rfmt sheetId="5" sqref="BY113" start="0" length="0">
    <dxf>
      <font>
        <b val="0"/>
      </font>
      <numFmt numFmtId="165" formatCode="&quot;$&quot;#,##0"/>
    </dxf>
  </rfmt>
  <rfmt sheetId="5" sqref="BY114" start="0" length="0">
    <dxf>
      <font>
        <b val="0"/>
      </font>
      <numFmt numFmtId="165" formatCode="&quot;$&quot;#,##0"/>
    </dxf>
  </rfmt>
  <rfmt sheetId="5" sqref="BY115" start="0" length="0">
    <dxf>
      <font>
        <b val="0"/>
      </font>
      <numFmt numFmtId="165" formatCode="&quot;$&quot;#,##0"/>
    </dxf>
  </rfmt>
  <rfmt sheetId="5" sqref="BY116" start="0" length="0">
    <dxf>
      <font/>
      <numFmt numFmtId="165" formatCode="&quot;$&quot;#,##0"/>
    </dxf>
  </rfmt>
  <rfmt sheetId="5" sqref="BY117" start="0" length="0">
    <dxf>
      <font/>
      <numFmt numFmtId="165" formatCode="&quot;$&quot;#,##0"/>
    </dxf>
  </rfmt>
  <rfmt sheetId="5" sqref="BY118" start="0" length="0">
    <dxf>
      <font/>
      <numFmt numFmtId="165" formatCode="&quot;$&quot;#,##0"/>
    </dxf>
  </rfmt>
  <rfmt sheetId="5" sqref="BY119" start="0" length="0">
    <dxf>
      <font/>
      <numFmt numFmtId="165" formatCode="&quot;$&quot;#,##0"/>
    </dxf>
  </rfmt>
  <rcc rId="43859" sId="5" odxf="1" dxf="1" numFmtId="11">
    <nc r="BY120">
      <v>2303</v>
    </nc>
    <odxf>
      <font/>
      <fill>
        <patternFill patternType="none">
          <bgColor indexed="65"/>
        </patternFill>
      </fill>
    </odxf>
    <ndxf>
      <font/>
      <fill>
        <patternFill patternType="solid">
          <bgColor theme="0"/>
        </patternFill>
      </fill>
    </ndxf>
  </rcc>
  <rcc rId="43860" sId="5" odxf="1" dxf="1" numFmtId="11">
    <nc r="BY121">
      <v>657984</v>
    </nc>
    <odxf>
      <font/>
      <fill>
        <patternFill patternType="none">
          <bgColor indexed="65"/>
        </patternFill>
      </fill>
    </odxf>
    <ndxf>
      <font/>
      <fill>
        <patternFill patternType="solid">
          <bgColor theme="0"/>
        </patternFill>
      </fill>
    </ndxf>
  </rcc>
  <rcc rId="43861" sId="5" odxf="1" dxf="1" numFmtId="11">
    <nc r="BY122">
      <v>6407</v>
    </nc>
    <odxf>
      <font/>
      <fill>
        <patternFill patternType="none">
          <bgColor indexed="65"/>
        </patternFill>
      </fill>
    </odxf>
    <ndxf>
      <font/>
      <fill>
        <patternFill patternType="solid">
          <bgColor theme="0"/>
        </patternFill>
      </fill>
    </ndxf>
  </rcc>
  <rcc rId="43862" sId="5" odxf="1" dxf="1" numFmtId="11">
    <nc r="BY123">
      <v>105816</v>
    </nc>
    <odxf>
      <font/>
      <fill>
        <patternFill patternType="none">
          <bgColor indexed="65"/>
        </patternFill>
      </fill>
    </odxf>
    <ndxf>
      <font/>
      <fill>
        <patternFill patternType="solid">
          <bgColor theme="0"/>
        </patternFill>
      </fill>
    </ndxf>
  </rcc>
  <rcc rId="43863" sId="5" odxf="1" dxf="1" numFmtId="11">
    <nc r="BY124">
      <v>535364</v>
    </nc>
    <odxf>
      <font/>
      <fill>
        <patternFill patternType="none">
          <bgColor indexed="65"/>
        </patternFill>
      </fill>
    </odxf>
    <ndxf>
      <font/>
      <fill>
        <patternFill patternType="solid">
          <bgColor theme="0"/>
        </patternFill>
      </fill>
    </ndxf>
  </rcc>
  <rcc rId="43864" sId="5" odxf="1" dxf="1" numFmtId="11">
    <nc r="BY125">
      <v>64955</v>
    </nc>
    <odxf>
      <font/>
      <fill>
        <patternFill patternType="none">
          <bgColor indexed="65"/>
        </patternFill>
      </fill>
    </odxf>
    <ndxf>
      <font/>
      <fill>
        <patternFill patternType="solid">
          <bgColor theme="0"/>
        </patternFill>
      </fill>
    </ndxf>
  </rcc>
  <rcc rId="43865" sId="5" odxf="1" dxf="1" numFmtId="11">
    <nc r="BY126">
      <v>42547</v>
    </nc>
    <odxf>
      <font/>
      <fill>
        <patternFill patternType="none">
          <bgColor indexed="65"/>
        </patternFill>
      </fill>
    </odxf>
    <ndxf>
      <font/>
      <fill>
        <patternFill patternType="solid">
          <bgColor theme="0"/>
        </patternFill>
      </fill>
    </ndxf>
  </rcc>
  <rcc rId="43866" sId="5" odxf="1" dxf="1" numFmtId="11">
    <nc r="BY127">
      <v>3495</v>
    </nc>
    <odxf>
      <font/>
      <fill>
        <patternFill patternType="none">
          <bgColor indexed="65"/>
        </patternFill>
      </fill>
    </odxf>
    <ndxf>
      <font/>
      <fill>
        <patternFill patternType="solid">
          <bgColor theme="0"/>
        </patternFill>
      </fill>
    </ndxf>
  </rcc>
  <rfmt sheetId="5" sqref="BY128" start="0" length="0">
    <dxf>
      <font/>
      <fill>
        <patternFill patternType="solid">
          <bgColor theme="0"/>
        </patternFill>
      </fill>
    </dxf>
  </rfmt>
  <rcc rId="43867" sId="5" odxf="1" dxf="1" numFmtId="11">
    <nc r="BY129">
      <v>47782</v>
    </nc>
    <odxf>
      <font/>
      <fill>
        <patternFill patternType="none">
          <bgColor indexed="65"/>
        </patternFill>
      </fill>
    </odxf>
    <ndxf>
      <font/>
      <fill>
        <patternFill patternType="solid">
          <bgColor theme="0"/>
        </patternFill>
      </fill>
    </ndxf>
  </rcc>
  <rcc rId="43868" sId="5" odxf="1" dxf="1" numFmtId="11">
    <nc r="BY130">
      <v>109941</v>
    </nc>
    <odxf>
      <font/>
      <fill>
        <patternFill patternType="none">
          <bgColor indexed="65"/>
        </patternFill>
      </fill>
    </odxf>
    <ndxf>
      <font/>
      <fill>
        <patternFill patternType="solid">
          <bgColor theme="0"/>
        </patternFill>
      </fill>
    </ndxf>
  </rcc>
  <rcc rId="43869" sId="5" odxf="1" dxf="1" numFmtId="11">
    <nc r="BY131">
      <v>91190</v>
    </nc>
    <odxf>
      <font/>
      <fill>
        <patternFill patternType="none">
          <bgColor indexed="65"/>
        </patternFill>
      </fill>
    </odxf>
    <ndxf>
      <font/>
      <fill>
        <patternFill patternType="solid">
          <bgColor theme="0"/>
        </patternFill>
      </fill>
    </ndxf>
  </rcc>
  <rfmt sheetId="5" sqref="BY132" start="0" length="0">
    <dxf>
      <font/>
      <numFmt numFmtId="0" formatCode="General"/>
      <border outline="0">
        <bottom style="medium">
          <color indexed="64"/>
        </bottom>
      </border>
    </dxf>
  </rfmt>
  <rcc rId="43870" sId="5" odxf="1" dxf="1">
    <nc r="BY133">
      <f>SUM(BY120:BY131)</f>
    </nc>
    <odxf>
      <font>
        <b/>
      </font>
      <numFmt numFmtId="10" formatCode="&quot;$&quot;#,##0_);[Red]\(&quot;$&quot;#,##0\)"/>
      <fill>
        <patternFill patternType="none">
          <bgColor indexed="65"/>
        </patternFill>
      </fill>
    </odxf>
    <ndxf>
      <font>
        <b val="0"/>
      </font>
      <numFmt numFmtId="165" formatCode="&quot;$&quot;#,##0"/>
      <fill>
        <patternFill patternType="solid">
          <bgColor theme="0"/>
        </patternFill>
      </fill>
    </ndxf>
  </rcc>
  <rfmt sheetId="5" sqref="BY134" start="0" length="0">
    <dxf>
      <font>
        <b val="0"/>
      </font>
      <numFmt numFmtId="165" formatCode="&quot;$&quot;#,##0"/>
    </dxf>
  </rfmt>
  <rfmt sheetId="5" sqref="BY135" start="0" length="0">
    <dxf>
      <font>
        <b val="0"/>
      </font>
      <numFmt numFmtId="165" formatCode="&quot;$&quot;#,##0"/>
    </dxf>
  </rfmt>
  <rfmt sheetId="5" sqref="BY136" start="0" length="0">
    <dxf>
      <font>
        <b val="0"/>
      </font>
      <numFmt numFmtId="165" formatCode="&quot;$&quot;#,##0"/>
    </dxf>
  </rfmt>
  <rfmt sheetId="5" sqref="BY137" start="0" length="0">
    <dxf>
      <font/>
      <numFmt numFmtId="165" formatCode="&quot;$&quot;#,##0"/>
    </dxf>
  </rfmt>
  <rfmt sheetId="5" sqref="BY138" start="0" length="0">
    <dxf>
      <font/>
      <numFmt numFmtId="165" formatCode="&quot;$&quot;#,##0"/>
    </dxf>
  </rfmt>
  <rfmt sheetId="5" sqref="BY139" start="0" length="0">
    <dxf>
      <font/>
      <numFmt numFmtId="165" formatCode="&quot;$&quot;#,##0"/>
    </dxf>
  </rfmt>
  <rfmt sheetId="5" sqref="BY140" start="0" length="0">
    <dxf>
      <font/>
      <numFmt numFmtId="165" formatCode="&quot;$&quot;#,##0"/>
    </dxf>
  </rfmt>
  <rfmt sheetId="5" sqref="BY141" start="0" length="0">
    <dxf>
      <font/>
      <numFmt numFmtId="165" formatCode="&quot;$&quot;#,##0"/>
    </dxf>
  </rfmt>
  <rfmt sheetId="5" sqref="BY142" start="0" length="0">
    <dxf>
      <font/>
      <numFmt numFmtId="165" formatCode="&quot;$&quot;#,##0"/>
    </dxf>
  </rfmt>
  <rfmt sheetId="5" sqref="BY143" start="0" length="0">
    <dxf>
      <font/>
      <numFmt numFmtId="165" formatCode="&quot;$&quot;#,##0"/>
    </dxf>
  </rfmt>
  <rfmt sheetId="5" sqref="BY144" start="0" length="0">
    <dxf>
      <font/>
      <numFmt numFmtId="165" formatCode="&quot;$&quot;#,##0"/>
    </dxf>
  </rfmt>
  <rfmt sheetId="5" sqref="BY145" start="0" length="0">
    <dxf>
      <font/>
      <numFmt numFmtId="165" formatCode="&quot;$&quot;#,##0"/>
    </dxf>
  </rfmt>
  <rcc rId="43871" sId="5" odxf="1" dxf="1" numFmtId="11">
    <nc r="BY146">
      <v>167135</v>
    </nc>
    <odxf>
      <font/>
    </odxf>
    <ndxf>
      <font/>
    </ndxf>
  </rcc>
  <rcc rId="43872" sId="5" odxf="1" dxf="1" numFmtId="11">
    <nc r="BY147">
      <v>192353</v>
    </nc>
    <odxf>
      <font/>
    </odxf>
    <ndxf>
      <font/>
    </ndxf>
  </rcc>
  <rcc rId="43873" sId="5" odxf="1" dxf="1" numFmtId="11">
    <nc r="BY148">
      <v>171917</v>
    </nc>
    <odxf>
      <font/>
    </odxf>
    <ndxf>
      <font/>
    </ndxf>
  </rcc>
  <rcc rId="43874" sId="5" odxf="1" dxf="1" numFmtId="11">
    <nc r="BY149">
      <v>597</v>
    </nc>
    <odxf>
      <font/>
    </odxf>
    <ndxf>
      <font/>
    </ndxf>
  </rcc>
  <rcc rId="43875" sId="5" odxf="1" dxf="1" numFmtId="11">
    <nc r="BY150">
      <v>99922</v>
    </nc>
    <odxf>
      <font/>
    </odxf>
    <ndxf>
      <font/>
    </ndxf>
  </rcc>
  <rcc rId="43876" sId="5" odxf="1" dxf="1" numFmtId="11">
    <nc r="BY151">
      <v>35866</v>
    </nc>
    <odxf>
      <font/>
    </odxf>
    <ndxf>
      <font/>
    </ndxf>
  </rcc>
  <rcc rId="43877" sId="5" odxf="1" dxf="1" numFmtId="11">
    <nc r="BY152">
      <v>16620</v>
    </nc>
    <odxf>
      <font/>
    </odxf>
    <ndxf>
      <font/>
    </ndxf>
  </rcc>
  <rcc rId="43878" sId="5" odxf="1" dxf="1" numFmtId="11">
    <nc r="BY153">
      <v>6512</v>
    </nc>
    <odxf>
      <font/>
    </odxf>
    <ndxf>
      <font/>
    </ndxf>
  </rcc>
  <rcc rId="43879" sId="5" odxf="1" dxf="1" numFmtId="11">
    <nc r="BY154">
      <v>19822</v>
    </nc>
    <odxf>
      <font/>
    </odxf>
    <ndxf>
      <font/>
    </ndxf>
  </rcc>
  <rcc rId="43880" sId="5" odxf="1" dxf="1" numFmtId="11">
    <nc r="BY155">
      <v>2193</v>
    </nc>
    <odxf>
      <font/>
    </odxf>
    <ndxf>
      <font/>
    </ndxf>
  </rcc>
  <rcc rId="43881" sId="5" odxf="1" dxf="1" numFmtId="11">
    <nc r="BY156">
      <v>2685</v>
    </nc>
    <odxf>
      <font/>
    </odxf>
    <ndxf>
      <font/>
    </ndxf>
  </rcc>
  <rfmt sheetId="5" sqref="BY157" start="0" length="0">
    <dxf>
      <font/>
    </dxf>
  </rfmt>
  <rcc rId="43882" sId="5" odxf="1" dxf="1" numFmtId="11">
    <nc r="BY158">
      <v>3000</v>
    </nc>
    <odxf>
      <font/>
    </odxf>
    <ndxf>
      <font/>
    </ndxf>
  </rcc>
  <rcc rId="43883" sId="5" odxf="1" dxf="1" numFmtId="11">
    <nc r="BY159">
      <v>780</v>
    </nc>
    <odxf>
      <font/>
    </odxf>
    <ndxf>
      <font/>
    </ndxf>
  </rcc>
  <rcc rId="43884" sId="5" odxf="1" dxf="1" numFmtId="11">
    <nc r="BY160">
      <v>394</v>
    </nc>
    <odxf>
      <font/>
    </odxf>
    <ndxf>
      <font/>
    </ndxf>
  </rcc>
  <rcc rId="43885" sId="5" odxf="1" dxf="1" numFmtId="11">
    <nc r="BY161">
      <v>106384</v>
    </nc>
    <odxf>
      <font/>
    </odxf>
    <ndxf>
      <font/>
    </ndxf>
  </rcc>
  <rcc rId="43886" sId="5" odxf="1" dxf="1" numFmtId="11">
    <nc r="BY162">
      <v>61276</v>
    </nc>
    <odxf>
      <font/>
    </odxf>
    <ndxf>
      <font/>
    </ndxf>
  </rcc>
  <rcc rId="43887" sId="5" odxf="1" dxf="1" numFmtId="11">
    <nc r="BY163">
      <v>756415</v>
    </nc>
    <odxf>
      <font/>
    </odxf>
    <ndxf>
      <font/>
    </ndxf>
  </rcc>
  <rfmt sheetId="5" sqref="BY164" start="0" length="0">
    <dxf>
      <font/>
    </dxf>
  </rfmt>
  <rfmt sheetId="5" sqref="BY165" start="0" length="0">
    <dxf>
      <font/>
    </dxf>
  </rfmt>
  <rcc rId="43888" sId="5" odxf="1" dxf="1">
    <nc r="BY166">
      <f>SUM(BY146:BY165)</f>
    </nc>
    <odxf>
      <numFmt numFmtId="10" formatCode="&quot;$&quot;#,##0_);[Red]\(&quot;$&quot;#,##0\)"/>
    </odxf>
    <ndxf>
      <numFmt numFmtId="165" formatCode="&quot;$&quot;#,##0"/>
    </ndxf>
  </rcc>
  <rcc rId="43889" sId="5">
    <nc r="BY167">
      <f>BY166-920</f>
    </nc>
  </rcc>
  <rcc rId="43890" sId="5">
    <nc r="BY168">
      <f>BY166-920</f>
    </nc>
  </rcc>
  <rfmt sheetId="5" sqref="BY169" start="0" length="0">
    <dxf>
      <font>
        <b val="0"/>
      </font>
      <numFmt numFmtId="165" formatCode="&quot;$&quot;#,##0"/>
    </dxf>
  </rfmt>
  <rfmt sheetId="5" sqref="BY170" start="0" length="0">
    <dxf>
      <font>
        <b val="0"/>
      </font>
      <numFmt numFmtId="165" formatCode="&quot;$&quot;#,##0"/>
    </dxf>
  </rfmt>
  <rfmt sheetId="5" sqref="BY171" start="0" length="0">
    <dxf>
      <font>
        <b val="0"/>
      </font>
      <numFmt numFmtId="165" formatCode="&quot;$&quot;#,##0"/>
    </dxf>
  </rfmt>
  <rfmt sheetId="5" sqref="BY172" start="0" length="0">
    <dxf>
      <font>
        <b val="0"/>
      </font>
      <numFmt numFmtId="165" formatCode="&quot;$&quot;#,##0"/>
    </dxf>
  </rfmt>
  <rfmt sheetId="5" sqref="BY173" start="0" length="0">
    <dxf>
      <font>
        <b val="0"/>
      </font>
      <numFmt numFmtId="165" formatCode="&quot;$&quot;#,##0"/>
    </dxf>
  </rfmt>
  <rfmt sheetId="5" sqref="BY174" start="0" length="0">
    <dxf>
      <font>
        <b val="0"/>
      </font>
      <numFmt numFmtId="165" formatCode="&quot;$&quot;#,##0"/>
    </dxf>
  </rfmt>
  <rfmt sheetId="5" sqref="BY175" start="0" length="0">
    <dxf>
      <font>
        <b val="0"/>
      </font>
      <numFmt numFmtId="165" formatCode="&quot;$&quot;#,##0"/>
    </dxf>
  </rfmt>
  <rfmt sheetId="5" sqref="BY176" start="0" length="0">
    <dxf>
      <font/>
      <numFmt numFmtId="165" formatCode="&quot;$&quot;#,##0"/>
    </dxf>
  </rfmt>
  <rfmt sheetId="5" sqref="BY177" start="0" length="0">
    <dxf>
      <font/>
      <numFmt numFmtId="165" formatCode="&quot;$&quot;#,##0"/>
    </dxf>
  </rfmt>
  <rfmt sheetId="5" sqref="BY178" start="0" length="0">
    <dxf>
      <font/>
      <numFmt numFmtId="165" formatCode="&quot;$&quot;#,##0"/>
    </dxf>
  </rfmt>
  <rcc rId="43891" sId="5" odxf="1" dxf="1" numFmtId="11">
    <nc r="BY179">
      <v>111153</v>
    </nc>
    <odxf>
      <font/>
    </odxf>
    <ndxf>
      <font/>
    </ndxf>
  </rcc>
  <rcc rId="43892" sId="5" odxf="1" dxf="1">
    <nc r="BY180">
      <f>70623+1360+50600</f>
    </nc>
    <odxf>
      <font/>
    </odxf>
    <ndxf>
      <font/>
    </ndxf>
  </rcc>
  <rcc rId="43893" sId="5" odxf="1" dxf="1" numFmtId="11">
    <nc r="BY181">
      <v>34060</v>
    </nc>
    <odxf>
      <font/>
    </odxf>
    <ndxf>
      <font/>
    </ndxf>
  </rcc>
  <rcc rId="43894" sId="5" odxf="1" dxf="1" numFmtId="11">
    <nc r="BY182">
      <v>65433</v>
    </nc>
    <odxf>
      <font/>
    </odxf>
    <ndxf>
      <font/>
    </ndxf>
  </rcc>
  <rcc rId="43895" sId="5" odxf="1" dxf="1" numFmtId="11">
    <nc r="BY183">
      <v>1607</v>
    </nc>
    <odxf>
      <font/>
    </odxf>
    <ndxf>
      <font/>
    </ndxf>
  </rcc>
  <rcc rId="43896" sId="5" odxf="1" dxf="1" numFmtId="11">
    <nc r="BY184">
      <v>126</v>
    </nc>
    <odxf>
      <font/>
    </odxf>
    <ndxf>
      <font/>
    </ndxf>
  </rcc>
  <rcc rId="43897" sId="5" odxf="1" dxf="1">
    <nc r="BY185">
      <f>286937-50600</f>
    </nc>
    <odxf>
      <font/>
    </odxf>
    <ndxf>
      <font/>
    </ndxf>
  </rcc>
  <rfmt sheetId="5" sqref="BY186" start="0" length="0">
    <dxf>
      <font/>
    </dxf>
  </rfmt>
  <rfmt sheetId="5" sqref="BY187" start="0" length="0">
    <dxf>
      <font/>
    </dxf>
  </rfmt>
  <rcc rId="43898" sId="5" odxf="1" dxf="1">
    <nc r="BY188">
      <f>SUM(BY179:BY187)</f>
    </nc>
    <odxf>
      <numFmt numFmtId="10" formatCode="&quot;$&quot;#,##0_);[Red]\(&quot;$&quot;#,##0\)"/>
    </odxf>
    <ndxf>
      <numFmt numFmtId="165" formatCode="&quot;$&quot;#,##0"/>
    </ndxf>
  </rcc>
  <rfmt sheetId="5" sqref="BY189" start="0" length="0">
    <dxf>
      <font>
        <b val="0"/>
      </font>
      <numFmt numFmtId="165" formatCode="&quot;$&quot;#,##0"/>
    </dxf>
  </rfmt>
  <rfmt sheetId="5" sqref="BY190" start="0" length="0">
    <dxf>
      <font>
        <b val="0"/>
      </font>
      <numFmt numFmtId="165" formatCode="&quot;$&quot;#,##0"/>
    </dxf>
  </rfmt>
  <rfmt sheetId="5" sqref="BY191" start="0" length="0">
    <dxf>
      <font/>
      <numFmt numFmtId="165" formatCode="&quot;$&quot;#,##0"/>
    </dxf>
  </rfmt>
  <rfmt sheetId="5" sqref="BY192" start="0" length="0">
    <dxf>
      <font/>
      <numFmt numFmtId="165" formatCode="&quot;$&quot;#,##0"/>
    </dxf>
  </rfmt>
  <rfmt sheetId="5" sqref="BY193" start="0" length="0">
    <dxf>
      <font/>
      <numFmt numFmtId="165" formatCode="&quot;$&quot;#,##0"/>
    </dxf>
  </rfmt>
  <rfmt sheetId="5" sqref="BY194" start="0" length="0">
    <dxf>
      <font/>
      <numFmt numFmtId="165" formatCode="&quot;$&quot;#,##0"/>
    </dxf>
  </rfmt>
  <rfmt sheetId="5" sqref="BY195" start="0" length="0">
    <dxf>
      <font/>
      <numFmt numFmtId="165" formatCode="&quot;$&quot;#,##0"/>
    </dxf>
  </rfmt>
  <rfmt sheetId="5" sqref="BY196" start="0" length="0">
    <dxf>
      <font/>
      <numFmt numFmtId="165" formatCode="&quot;$&quot;#,##0"/>
    </dxf>
  </rfmt>
  <rfmt sheetId="5" sqref="BY197" start="0" length="0">
    <dxf>
      <font/>
      <numFmt numFmtId="165" formatCode="&quot;$&quot;#,##0"/>
    </dxf>
  </rfmt>
  <rcc rId="43899" sId="5" odxf="1" dxf="1" numFmtId="11">
    <nc r="BY198">
      <v>467424</v>
    </nc>
    <odxf>
      <font/>
    </odxf>
    <ndxf>
      <font/>
    </ndxf>
  </rcc>
  <rcc rId="43900" sId="5" odxf="1" dxf="1" numFmtId="11">
    <nc r="BY199">
      <v>4390</v>
    </nc>
    <odxf>
      <font/>
    </odxf>
    <ndxf>
      <font/>
    </ndxf>
  </rcc>
  <rcc rId="43901" sId="5" odxf="1" dxf="1" numFmtId="11">
    <nc r="BY200">
      <v>32542</v>
    </nc>
    <odxf>
      <font/>
    </odxf>
    <ndxf>
      <font/>
    </ndxf>
  </rcc>
  <rcc rId="43902" sId="5" odxf="1" dxf="1" numFmtId="11">
    <nc r="BY201">
      <v>21477</v>
    </nc>
    <odxf>
      <font/>
    </odxf>
    <ndxf>
      <font/>
    </ndxf>
  </rcc>
  <rcc rId="43903" sId="5" odxf="1" dxf="1" numFmtId="11">
    <nc r="BY202">
      <v>4193</v>
    </nc>
    <odxf>
      <font/>
    </odxf>
    <ndxf>
      <font/>
    </ndxf>
  </rcc>
  <rfmt sheetId="5" sqref="BY203" start="0" length="0">
    <dxf>
      <font/>
    </dxf>
  </rfmt>
  <rcc rId="43904" sId="5" odxf="1" dxf="1" numFmtId="11">
    <nc r="BY204">
      <v>34161</v>
    </nc>
    <odxf>
      <font/>
    </odxf>
    <ndxf>
      <font/>
    </ndxf>
  </rcc>
  <rfmt sheetId="5" sqref="BY205" start="0" length="0">
    <dxf>
      <font/>
    </dxf>
  </rfmt>
  <rcc rId="43905" sId="5" odxf="1" dxf="1" numFmtId="11">
    <nc r="BY206">
      <v>50036</v>
    </nc>
    <odxf>
      <font/>
    </odxf>
    <ndxf>
      <font/>
    </ndxf>
  </rcc>
  <rcc rId="43906" sId="5" odxf="1" dxf="1" numFmtId="11">
    <nc r="BY207">
      <v>8626</v>
    </nc>
    <odxf>
      <font/>
    </odxf>
    <ndxf>
      <font/>
    </ndxf>
  </rcc>
  <rfmt sheetId="5" sqref="BY208" start="0" length="0">
    <dxf>
      <font/>
    </dxf>
  </rfmt>
  <rcc rId="43907" sId="5" odxf="1" dxf="1" numFmtId="11">
    <nc r="BY209">
      <v>35803</v>
    </nc>
    <odxf>
      <font/>
    </odxf>
    <ndxf>
      <font/>
    </ndxf>
  </rcc>
  <rfmt sheetId="5" sqref="BY210" start="0" length="0">
    <dxf>
      <font/>
    </dxf>
  </rfmt>
  <rcc rId="43908" sId="5" odxf="1" dxf="1" numFmtId="11">
    <nc r="BY211">
      <v>6000</v>
    </nc>
    <odxf>
      <font/>
    </odxf>
    <ndxf>
      <font/>
    </ndxf>
  </rcc>
  <rfmt sheetId="5" sqref="BY212" start="0" length="0">
    <dxf>
      <font/>
    </dxf>
  </rfmt>
  <rcc rId="43909" sId="5" odxf="1" dxf="1" numFmtId="11">
    <nc r="BY213">
      <v>107800</v>
    </nc>
    <odxf>
      <font/>
    </odxf>
    <ndxf>
      <font/>
    </ndxf>
  </rcc>
  <rcc rId="43910" sId="5" odxf="1" dxf="1" numFmtId="11">
    <nc r="BY214">
      <v>8222</v>
    </nc>
    <odxf>
      <font/>
    </odxf>
    <ndxf>
      <font/>
    </ndxf>
  </rcc>
  <rcc rId="43911" sId="5" odxf="1" dxf="1" numFmtId="11">
    <nc r="BY215">
      <v>47020</v>
    </nc>
    <odxf>
      <font/>
    </odxf>
    <ndxf>
      <font/>
    </ndxf>
  </rcc>
  <rfmt sheetId="5" sqref="BY216" start="0" length="0">
    <dxf>
      <font/>
    </dxf>
  </rfmt>
  <rcc rId="43912" sId="5" odxf="1" dxf="1" numFmtId="11">
    <nc r="BY217">
      <v>71461</v>
    </nc>
    <odxf>
      <font/>
    </odxf>
    <ndxf>
      <font/>
    </ndxf>
  </rcc>
  <rcc rId="43913" sId="5" odxf="1" dxf="1" numFmtId="11">
    <nc r="BY218">
      <v>36472</v>
    </nc>
    <odxf>
      <font/>
    </odxf>
    <ndxf>
      <font/>
    </ndxf>
  </rcc>
  <rcc rId="43914" sId="5" odxf="1" dxf="1" numFmtId="11">
    <nc r="BY219">
      <v>103729</v>
    </nc>
    <odxf>
      <font/>
    </odxf>
    <ndxf>
      <font/>
    </ndxf>
  </rcc>
  <rfmt sheetId="5" sqref="BY220" start="0" length="0">
    <dxf>
      <font/>
    </dxf>
  </rfmt>
  <rcc rId="43915" sId="5" odxf="1" dxf="1" numFmtId="11">
    <nc r="BY221">
      <v>750</v>
    </nc>
    <odxf>
      <font/>
    </odxf>
    <ndxf>
      <font/>
    </ndxf>
  </rcc>
  <rcc rId="43916" sId="5" odxf="1" dxf="1">
    <nc r="BY222">
      <f>SUM(BY198:BY221)</f>
    </nc>
    <odxf>
      <numFmt numFmtId="10" formatCode="&quot;$&quot;#,##0_);[Red]\(&quot;$&quot;#,##0\)"/>
    </odxf>
    <ndxf>
      <numFmt numFmtId="165" formatCode="&quot;$&quot;#,##0"/>
    </ndxf>
  </rcc>
  <rfmt sheetId="5" sqref="BY223" start="0" length="0">
    <dxf>
      <font>
        <b val="0"/>
      </font>
      <numFmt numFmtId="165" formatCode="&quot;$&quot;#,##0"/>
    </dxf>
  </rfmt>
  <rfmt sheetId="5" sqref="BY224" start="0" length="0">
    <dxf>
      <font>
        <b val="0"/>
      </font>
      <numFmt numFmtId="165" formatCode="&quot;$&quot;#,##0"/>
    </dxf>
  </rfmt>
  <rfmt sheetId="5" sqref="BY225" start="0" length="0">
    <dxf>
      <font/>
      <numFmt numFmtId="165" formatCode="&quot;$&quot;#,##0"/>
    </dxf>
  </rfmt>
  <rfmt sheetId="5" sqref="BY226" start="0" length="0">
    <dxf>
      <font/>
      <numFmt numFmtId="165" formatCode="&quot;$&quot;#,##0"/>
    </dxf>
  </rfmt>
  <rfmt sheetId="5" sqref="BY227" start="0" length="0">
    <dxf>
      <font/>
      <numFmt numFmtId="165" formatCode="&quot;$&quot;#,##0"/>
    </dxf>
  </rfmt>
  <rfmt sheetId="5" sqref="BY228" start="0" length="0">
    <dxf>
      <font/>
      <numFmt numFmtId="165" formatCode="&quot;$&quot;#,##0"/>
    </dxf>
  </rfmt>
  <rfmt sheetId="5" sqref="BY229" start="0" length="0">
    <dxf>
      <font/>
      <numFmt numFmtId="165" formatCode="&quot;$&quot;#,##0"/>
    </dxf>
  </rfmt>
  <rfmt sheetId="5" sqref="BY230" start="0" length="0">
    <dxf>
      <font/>
      <numFmt numFmtId="165" formatCode="&quot;$&quot;#,##0"/>
    </dxf>
  </rfmt>
  <rfmt sheetId="5" sqref="BY231" start="0" length="0">
    <dxf>
      <font/>
      <numFmt numFmtId="165" formatCode="&quot;$&quot;#,##0"/>
    </dxf>
  </rfmt>
  <rfmt sheetId="5" sqref="BY232" start="0" length="0">
    <dxf>
      <font/>
      <numFmt numFmtId="165" formatCode="&quot;$&quot;#,##0"/>
    </dxf>
  </rfmt>
  <rfmt sheetId="5" sqref="BY233" start="0" length="0">
    <dxf>
      <font/>
      <numFmt numFmtId="165" formatCode="&quot;$&quot;#,##0"/>
    </dxf>
  </rfmt>
  <rfmt sheetId="5" sqref="BY234" start="0" length="0">
    <dxf>
      <font/>
      <numFmt numFmtId="165" formatCode="&quot;$&quot;#,##0"/>
    </dxf>
  </rfmt>
  <rfmt sheetId="5" sqref="BY235" start="0" length="0">
    <dxf>
      <font/>
      <numFmt numFmtId="165" formatCode="&quot;$&quot;#,##0"/>
    </dxf>
  </rfmt>
  <rfmt sheetId="5" sqref="BY236" start="0" length="0">
    <dxf>
      <font/>
      <numFmt numFmtId="165" formatCode="&quot;$&quot;#,##0"/>
    </dxf>
  </rfmt>
  <rfmt sheetId="5" sqref="BY237" start="0" length="0">
    <dxf>
      <font/>
      <numFmt numFmtId="165" formatCode="&quot;$&quot;#,##0"/>
    </dxf>
  </rfmt>
  <rfmt sheetId="5" sqref="BY238" start="0" length="0">
    <dxf>
      <font/>
      <numFmt numFmtId="165" formatCode="&quot;$&quot;#,##0"/>
    </dxf>
  </rfmt>
  <rfmt sheetId="5" sqref="BY239" start="0" length="0">
    <dxf>
      <font/>
      <numFmt numFmtId="165" formatCode="&quot;$&quot;#,##0"/>
    </dxf>
  </rfmt>
  <rfmt sheetId="5" sqref="BY240" start="0" length="0">
    <dxf>
      <font/>
      <numFmt numFmtId="165" formatCode="&quot;$&quot;#,##0"/>
    </dxf>
  </rfmt>
  <rfmt sheetId="5" sqref="BY241" start="0" length="0">
    <dxf>
      <font/>
      <numFmt numFmtId="165" formatCode="&quot;$&quot;#,##0"/>
    </dxf>
  </rfmt>
  <rcc rId="43917" sId="5" odxf="1" dxf="1">
    <nc r="BY242">
      <f>BY41+BY74+BY109+BY133+BY166+BY188+BY222</f>
    </nc>
    <odxf>
      <font/>
      <numFmt numFmtId="0" formatCode="General"/>
      <fill>
        <patternFill patternType="none">
          <bgColor indexed="65"/>
        </patternFill>
      </fill>
    </odxf>
    <ndxf>
      <font/>
      <numFmt numFmtId="165" formatCode="&quot;$&quot;#,##0"/>
      <fill>
        <patternFill patternType="solid">
          <bgColor theme="0" tint="-0.249977111117893"/>
        </patternFill>
      </fill>
    </ndxf>
  </rcc>
  <rcc rId="43918" sId="5">
    <oc r="BZ7">
      <f>BW7-BR7</f>
    </oc>
    <nc r="BZ7">
      <f>BY7-BR7</f>
    </nc>
  </rcc>
  <rcc rId="43919" sId="5">
    <nc r="BY109" t="inlineStr">
      <is>
        <t xml:space="preserve"> </t>
      </is>
    </nc>
  </rcc>
  <rcc rId="43920" sId="5" odxf="1" dxf="1">
    <nc r="BY108">
      <f>SUM(BY85:BY107)</f>
    </nc>
    <ndxf>
      <numFmt numFmtId="165" formatCode="&quot;$&quot;#,##0"/>
    </ndxf>
  </rcc>
  <rm rId="43921" sheetId="5" source="BY108" destination="BY109" sourceSheetId="5">
    <undo index="3" exp="ref" v="1" dr="BY109" r="BY242" sId="5"/>
    <undo index="0" exp="ref" v="1" dr="BY109" r="BY110" sId="5"/>
    <undo index="0" exp="area" dr="BY85:BY109" r="BY111" sId="5"/>
    <rcc rId="0" sId="5" dxf="1">
      <nc r="BY109" t="inlineStr">
        <is>
          <t xml:space="preserve"> </t>
        </is>
      </nc>
      <ndxf>
        <font>
          <b/>
          <sz val="10"/>
          <color auto="1"/>
          <name val="Arial"/>
          <scheme val="none"/>
        </font>
        <numFmt numFmtId="165" formatCode="&quot;$&quot;#,##0"/>
      </ndxf>
    </rcc>
  </rm>
  <rcc rId="43922" sId="5">
    <nc r="BY110">
      <f>BY109-920</f>
    </nc>
  </rcc>
  <rcc rId="43923" sId="5">
    <nc r="BY111">
      <f>BY109-920</f>
    </nc>
  </rcc>
  <rfmt sheetId="5" sqref="BY109" start="0" length="2147483647">
    <dxf>
      <font>
        <b/>
      </font>
    </dxf>
  </rfmt>
  <rfmt sheetId="5" sqref="BY133" start="0" length="2147483647">
    <dxf>
      <font>
        <b/>
      </font>
    </dxf>
  </rfmt>
  <rcc rId="43924" sId="5">
    <nc r="BY244">
      <f>BY222+BY188+BY166+BY133+BY109+BY74+BY41</f>
    </nc>
  </rcc>
  <rcc rId="43925" sId="4">
    <nc r="BO4" t="inlineStr">
      <is>
        <t>FY 2013</t>
      </is>
    </nc>
  </rcc>
  <rcc rId="43926" sId="4">
    <nc r="BO5" t="inlineStr">
      <is>
        <t>Approved</t>
      </is>
    </nc>
  </rcc>
  <rcc rId="43927" sId="4" numFmtId="11">
    <nc r="BO7">
      <v>21007</v>
    </nc>
  </rcc>
  <rcc rId="43928" sId="4" numFmtId="11">
    <nc r="BO8">
      <v>3951</v>
    </nc>
  </rcc>
  <rcc rId="43929" sId="4" numFmtId="11">
    <nc r="BO9">
      <v>894</v>
    </nc>
  </rcc>
  <rcc rId="43930" sId="4" numFmtId="11">
    <nc r="BO10">
      <v>8435</v>
    </nc>
  </rcc>
  <rcc rId="43931" sId="4" numFmtId="11">
    <nc r="BO11">
      <v>0</v>
    </nc>
  </rcc>
  <rcc rId="43932" sId="4" numFmtId="11">
    <nc r="BO12">
      <v>0</v>
    </nc>
  </rcc>
  <rcc rId="43933" sId="4" numFmtId="11">
    <nc r="BO13">
      <v>3246</v>
    </nc>
  </rcc>
  <rcc rId="43934" sId="4" numFmtId="11">
    <nc r="BO14">
      <v>0</v>
    </nc>
  </rcc>
  <rcc rId="43935" sId="4" numFmtId="11">
    <nc r="BO15">
      <v>3401</v>
    </nc>
  </rcc>
  <rcc rId="43936" sId="4" numFmtId="11">
    <nc r="BO16">
      <v>2962</v>
    </nc>
  </rcc>
  <rcc rId="43937" sId="4" numFmtId="11">
    <nc r="BO17">
      <v>0</v>
    </nc>
  </rcc>
  <rcc rId="43938" sId="4" numFmtId="11">
    <nc r="BO18">
      <v>7814</v>
    </nc>
  </rcc>
  <rcc rId="43939" sId="4" numFmtId="11">
    <nc r="BO19">
      <v>0</v>
    </nc>
  </rcc>
  <rcc rId="43940" sId="4" numFmtId="11">
    <nc r="BO20">
      <v>970</v>
    </nc>
  </rcc>
  <rcc rId="43941" sId="4">
    <nc r="BO21">
      <f>19667-1360</f>
    </nc>
  </rcc>
  <rcc rId="43942" sId="4" numFmtId="11">
    <nc r="BO22">
      <v>0</v>
    </nc>
  </rcc>
  <rcc rId="43943" sId="4" numFmtId="11">
    <nc r="BO23">
      <v>8971</v>
    </nc>
  </rcc>
  <rcc rId="43944" sId="4" numFmtId="11">
    <nc r="BO24">
      <v>50917</v>
    </nc>
  </rcc>
  <rcc rId="43945" sId="4">
    <nc r="BO25">
      <f>250917-47782-9794</f>
    </nc>
  </rcc>
  <rcc rId="43946" sId="4" numFmtId="11">
    <nc r="BO26">
      <v>1051</v>
    </nc>
  </rcc>
  <rcc rId="43947" sId="4" numFmtId="11">
    <nc r="BO27">
      <v>5812</v>
    </nc>
  </rcc>
  <rcc rId="43948" sId="4" numFmtId="11">
    <nc r="BO28">
      <v>2601</v>
    </nc>
  </rcc>
  <rcc rId="43949" sId="4" numFmtId="11">
    <nc r="BO29">
      <v>1151</v>
    </nc>
  </rcc>
  <rcc rId="43950" sId="4" numFmtId="11">
    <nc r="BO30">
      <v>1468</v>
    </nc>
  </rcc>
  <rcc rId="43951" sId="4" numFmtId="11">
    <nc r="BO31">
      <v>408</v>
    </nc>
  </rcc>
  <rcc rId="43952" sId="4" numFmtId="11">
    <nc r="BO32">
      <v>60498</v>
    </nc>
  </rcc>
  <rcc rId="43953" sId="4" numFmtId="11">
    <nc r="BO33">
      <v>13308</v>
    </nc>
  </rcc>
  <rcc rId="43954" sId="4">
    <nc r="BO34">
      <f>129445-2200</f>
    </nc>
  </rcc>
  <rcc rId="43955" sId="4" numFmtId="11">
    <nc r="BO35">
      <v>2430</v>
    </nc>
  </rcc>
  <rcc rId="43956" sId="4" numFmtId="11">
    <nc r="BO36">
      <v>0</v>
    </nc>
  </rcc>
  <rcc rId="43957" sId="4" numFmtId="11">
    <nc r="BO37">
      <v>0</v>
    </nc>
  </rcc>
  <rcc rId="43958" sId="4" numFmtId="11">
    <nc r="BO40">
      <v>1039</v>
    </nc>
  </rcc>
  <rcc rId="43959" sId="4">
    <nc r="BO41">
      <f>SUM(BO7:BO40)</f>
    </nc>
  </rcc>
  <rcc rId="43960" sId="4" numFmtId="11">
    <nc r="BO51">
      <v>29184</v>
    </nc>
  </rcc>
  <rcc rId="43961" sId="4" numFmtId="11">
    <nc r="BO52">
      <v>6589</v>
    </nc>
  </rcc>
  <rcc rId="43962" sId="4" numFmtId="11">
    <nc r="BO53">
      <v>5276</v>
    </nc>
  </rcc>
  <rcc rId="43963" sId="4" numFmtId="11">
    <nc r="BO54">
      <v>869</v>
    </nc>
  </rcc>
  <rcc rId="43964" sId="4" numFmtId="11">
    <nc r="BO55">
      <v>2596</v>
    </nc>
  </rcc>
  <rcc rId="43965" sId="4" numFmtId="11">
    <nc r="BO56">
      <v>19091</v>
    </nc>
  </rcc>
  <rcc rId="43966" sId="4" numFmtId="11">
    <nc r="BO57">
      <v>14213</v>
    </nc>
  </rcc>
  <rcc rId="43967" sId="4" numFmtId="11">
    <nc r="BO58">
      <v>78332</v>
    </nc>
  </rcc>
  <rcc rId="43968" sId="4" numFmtId="11">
    <nc r="BO59">
      <v>0</v>
    </nc>
  </rcc>
  <rcc rId="43969" sId="4" numFmtId="11">
    <nc r="BO60">
      <v>1663</v>
    </nc>
  </rcc>
  <rcc rId="43970" sId="4" numFmtId="11">
    <nc r="BO61">
      <v>32952</v>
    </nc>
  </rcc>
  <rcc rId="43971" sId="4" numFmtId="11">
    <nc r="BO62">
      <v>2064</v>
    </nc>
  </rcc>
  <rcc rId="43972" sId="4" numFmtId="11">
    <nc r="BO63">
      <v>11190</v>
    </nc>
  </rcc>
  <rcc rId="43973" sId="4" numFmtId="11">
    <nc r="BO64">
      <v>6835</v>
    </nc>
  </rcc>
  <rcc rId="43974" sId="4" numFmtId="11">
    <nc r="BO66">
      <v>10360</v>
    </nc>
  </rcc>
  <rcc rId="43975" sId="4" numFmtId="11">
    <nc r="BO67">
      <v>6116</v>
    </nc>
  </rcc>
  <rcc rId="43976" sId="4" numFmtId="11">
    <nc r="BO68">
      <v>17868</v>
    </nc>
  </rcc>
  <rcc rId="43977" sId="4" numFmtId="11">
    <nc r="BO69">
      <v>8592</v>
    </nc>
  </rcc>
  <rcc rId="43978" sId="4" numFmtId="11">
    <nc r="BO71">
      <v>15000</v>
    </nc>
  </rcc>
  <rcc rId="43979" sId="4">
    <nc r="BO73">
      <v>23000</v>
    </nc>
  </rcc>
  <rcc rId="43980" sId="4">
    <nc r="BO74">
      <f>SUM(BO51:BO73)</f>
    </nc>
  </rcc>
  <rcc rId="43981" sId="4" numFmtId="11">
    <nc r="BO85">
      <v>470926</v>
    </nc>
  </rcc>
  <rcc rId="43982" sId="4" numFmtId="11">
    <nc r="BO86">
      <v>199374</v>
    </nc>
  </rcc>
  <rcc rId="43983" sId="4" numFmtId="11">
    <nc r="BO87">
      <v>96314</v>
    </nc>
  </rcc>
  <rcc rId="43984" sId="4" numFmtId="11">
    <nc r="BO88">
      <v>139289</v>
    </nc>
  </rcc>
  <rcc rId="43985" sId="4" numFmtId="11">
    <nc r="BO89">
      <v>2796</v>
    </nc>
  </rcc>
  <rcc rId="43986" sId="4" numFmtId="11">
    <nc r="BO90">
      <v>2007</v>
    </nc>
  </rcc>
  <rcc rId="43987" sId="4" numFmtId="11">
    <nc r="BO94">
      <v>2091</v>
    </nc>
  </rcc>
  <rcc rId="43988" sId="4" numFmtId="11">
    <nc r="BO95">
      <v>1389</v>
    </nc>
  </rcc>
  <rcc rId="43989" sId="4" numFmtId="11">
    <nc r="BO96">
      <v>7834</v>
    </nc>
  </rcc>
  <rcc rId="43990" sId="4" numFmtId="11">
    <nc r="BO97">
      <v>7962</v>
    </nc>
  </rcc>
  <rcc rId="43991" sId="4" numFmtId="11">
    <nc r="BO99">
      <v>449</v>
    </nc>
  </rcc>
  <rcc rId="43992" sId="4" numFmtId="11">
    <nc r="BO104">
      <v>43540</v>
    </nc>
  </rcc>
  <rcc rId="43993" sId="4" numFmtId="11">
    <nc r="BO106">
      <v>1954</v>
    </nc>
  </rcc>
  <rcc rId="43994" sId="4" numFmtId="11">
    <nc r="BO107">
      <v>8505</v>
    </nc>
  </rcc>
  <rfmt sheetId="4" sqref="BO108" start="0" length="0">
    <dxf>
      <font/>
    </dxf>
  </rfmt>
  <rcc rId="43995" sId="4" odxf="1" dxf="1">
    <nc r="BO109">
      <f>SUM(BO85:BO107)</f>
    </nc>
    <ndxf>
      <border outline="0">
        <bottom style="medium">
          <color indexed="64"/>
        </bottom>
      </border>
    </ndxf>
  </rcc>
  <rcc rId="43996" sId="4">
    <nc r="BO110">
      <f>BO109-920</f>
    </nc>
  </rcc>
  <rcc rId="43997" sId="4">
    <nc r="BO111">
      <f>BO109-920</f>
    </nc>
  </rcc>
  <rcc rId="43998" sId="4" numFmtId="11">
    <nc r="BO120">
      <v>2303</v>
    </nc>
  </rcc>
  <rcc rId="43999" sId="4" numFmtId="11">
    <nc r="BO121">
      <v>657984</v>
    </nc>
  </rcc>
  <rcc rId="44000" sId="4" numFmtId="11">
    <nc r="BO122">
      <v>6407</v>
    </nc>
  </rcc>
  <rcc rId="44001" sId="4" numFmtId="11">
    <nc r="BO123">
      <v>105816</v>
    </nc>
  </rcc>
  <rcc rId="44002" sId="4" numFmtId="11">
    <nc r="BO124">
      <v>535364</v>
    </nc>
  </rcc>
  <rcc rId="44003" sId="4" numFmtId="11">
    <nc r="BO125">
      <v>64955</v>
    </nc>
  </rcc>
  <rcc rId="44004" sId="4" numFmtId="11">
    <nc r="BO126">
      <v>42547</v>
    </nc>
  </rcc>
  <rcc rId="44005" sId="4" numFmtId="11">
    <nc r="BO127">
      <v>3495</v>
    </nc>
  </rcc>
  <rcc rId="44006" sId="4" numFmtId="11">
    <nc r="BO129">
      <v>47782</v>
    </nc>
  </rcc>
  <rcc rId="44007" sId="4" numFmtId="11">
    <nc r="BO130">
      <v>109941</v>
    </nc>
  </rcc>
  <rcc rId="44008" sId="4" numFmtId="11">
    <nc r="BO131">
      <v>91190</v>
    </nc>
  </rcc>
  <rcc rId="44009" sId="4" odxf="1" dxf="1">
    <nc r="BO133">
      <f>SUM(BO120:BO131)</f>
    </nc>
    <ndxf>
      <font>
        <b/>
      </font>
    </ndxf>
  </rcc>
  <rcc rId="44010" sId="4" numFmtId="11">
    <nc r="BO146">
      <v>167135</v>
    </nc>
  </rcc>
  <rcc rId="44011" sId="4" numFmtId="11">
    <nc r="BO147">
      <v>192353</v>
    </nc>
  </rcc>
  <rcc rId="44012" sId="4" numFmtId="11">
    <nc r="BO148">
      <v>171917</v>
    </nc>
  </rcc>
  <rcc rId="44013" sId="4" numFmtId="11">
    <nc r="BO149">
      <v>597</v>
    </nc>
  </rcc>
  <rcc rId="44014" sId="4" numFmtId="11">
    <nc r="BO150">
      <v>99922</v>
    </nc>
  </rcc>
  <rcc rId="44015" sId="4" numFmtId="11">
    <nc r="BO151">
      <v>35866</v>
    </nc>
  </rcc>
  <rcc rId="44016" sId="4" numFmtId="11">
    <nc r="BO152">
      <v>16620</v>
    </nc>
  </rcc>
  <rcc rId="44017" sId="4" numFmtId="11">
    <nc r="BO153">
      <v>6512</v>
    </nc>
  </rcc>
  <rcc rId="44018" sId="4" numFmtId="11">
    <nc r="BO154">
      <v>19822</v>
    </nc>
  </rcc>
  <rcc rId="44019" sId="4" numFmtId="11">
    <nc r="BO155">
      <v>2193</v>
    </nc>
  </rcc>
  <rcc rId="44020" sId="4" numFmtId="11">
    <nc r="BO156">
      <v>2685</v>
    </nc>
  </rcc>
  <rcc rId="44021" sId="4" numFmtId="11">
    <nc r="BO158">
      <v>3000</v>
    </nc>
  </rcc>
  <rcc rId="44022" sId="4" numFmtId="11">
    <nc r="BO159">
      <v>780</v>
    </nc>
  </rcc>
  <rcc rId="44023" sId="4" numFmtId="11">
    <nc r="BO160">
      <v>394</v>
    </nc>
  </rcc>
  <rcc rId="44024" sId="4" numFmtId="11">
    <nc r="BO161">
      <v>106384</v>
    </nc>
  </rcc>
  <rcc rId="44025" sId="4" numFmtId="11">
    <nc r="BO162">
      <v>61276</v>
    </nc>
  </rcc>
  <rcc rId="44026" sId="4" numFmtId="11">
    <nc r="BO163">
      <v>756415</v>
    </nc>
  </rcc>
  <rcc rId="44027" sId="4">
    <nc r="BO166">
      <f>SUM(BO146:BO165)</f>
    </nc>
  </rcc>
  <rcc rId="44028" sId="4">
    <nc r="BO167">
      <f>BO166-920</f>
    </nc>
  </rcc>
  <rcc rId="44029" sId="4">
    <nc r="BO168">
      <f>BO166-920</f>
    </nc>
  </rcc>
  <rcc rId="44030" sId="4" numFmtId="11">
    <nc r="BO179">
      <v>111153</v>
    </nc>
  </rcc>
  <rcc rId="44031" sId="4">
    <nc r="BO180">
      <f>70623+1360+50600</f>
    </nc>
  </rcc>
  <rcc rId="44032" sId="4" numFmtId="11">
    <nc r="BO181">
      <v>34060</v>
    </nc>
  </rcc>
  <rcc rId="44033" sId="4" numFmtId="11">
    <nc r="BO182">
      <v>65433</v>
    </nc>
  </rcc>
  <rcc rId="44034" sId="4" numFmtId="11">
    <nc r="BO183">
      <v>1607</v>
    </nc>
  </rcc>
  <rcc rId="44035" sId="4" numFmtId="11">
    <nc r="BO184">
      <v>126</v>
    </nc>
  </rcc>
  <rcc rId="44036" sId="4">
    <nc r="BO185">
      <f>286937-50600</f>
    </nc>
  </rcc>
  <rcc rId="44037" sId="4">
    <nc r="BO188">
      <f>SUM(BO179:BO187)</f>
    </nc>
  </rcc>
  <rcc rId="44038" sId="4" numFmtId="11">
    <nc r="BO198">
      <v>467424</v>
    </nc>
  </rcc>
  <rcc rId="44039" sId="4" numFmtId="11">
    <nc r="BO199">
      <v>4390</v>
    </nc>
  </rcc>
  <rcc rId="44040" sId="4" numFmtId="11">
    <nc r="BO200">
      <v>32542</v>
    </nc>
  </rcc>
  <rcc rId="44041" sId="4" numFmtId="11">
    <nc r="BO201">
      <v>21477</v>
    </nc>
  </rcc>
  <rcc rId="44042" sId="4" numFmtId="11">
    <nc r="BO202">
      <v>4193</v>
    </nc>
  </rcc>
  <rcc rId="44043" sId="4" numFmtId="11">
    <nc r="BO204">
      <v>34161</v>
    </nc>
  </rcc>
  <rcc rId="44044" sId="4" numFmtId="11">
    <nc r="BO206">
      <v>50036</v>
    </nc>
  </rcc>
  <rcc rId="44045" sId="4" numFmtId="11">
    <nc r="BO207">
      <v>8626</v>
    </nc>
  </rcc>
  <rcc rId="44046" sId="4" numFmtId="11">
    <nc r="BO209">
      <v>35803</v>
    </nc>
  </rcc>
  <rcc rId="44047" sId="4" numFmtId="11">
    <nc r="BO211">
      <v>6000</v>
    </nc>
  </rcc>
  <rcc rId="44048" sId="4" numFmtId="11">
    <nc r="BO213">
      <v>107800</v>
    </nc>
  </rcc>
  <rcc rId="44049" sId="4" numFmtId="11">
    <nc r="BO214">
      <v>8222</v>
    </nc>
  </rcc>
  <rcc rId="44050" sId="4" numFmtId="11">
    <nc r="BO215">
      <v>47020</v>
    </nc>
  </rcc>
  <rcc rId="44051" sId="4" numFmtId="11">
    <nc r="BO217">
      <v>71461</v>
    </nc>
  </rcc>
  <rcc rId="44052" sId="4" numFmtId="11">
    <nc r="BO218">
      <v>36472</v>
    </nc>
  </rcc>
  <rcc rId="44053" sId="4" numFmtId="11">
    <nc r="BO219">
      <v>103729</v>
    </nc>
  </rcc>
  <rcc rId="44054" sId="4" numFmtId="11">
    <nc r="BO221">
      <v>750</v>
    </nc>
  </rcc>
  <rcc rId="44055" sId="4">
    <nc r="BO222">
      <f>SUM(BO198:BO221)</f>
    </nc>
  </rcc>
  <rcc rId="44056" sId="4">
    <nc r="BO242">
      <f>BO41+BO74+#REF!+BO133+BO166+BO188+BO222</f>
    </nc>
  </rcc>
  <rfmt sheetId="4" sqref="BO243" start="0" length="0">
    <dxf>
      <numFmt numFmtId="0" formatCode="General"/>
    </dxf>
  </rfmt>
  <rcc rId="44057" sId="4" odxf="1" dxf="1">
    <nc r="BO244">
      <f>BO222+BO188+BO166+BO133+BO109+BO74+BO41</f>
    </nc>
    <odxf>
      <font>
        <b val="0"/>
      </font>
      <numFmt numFmtId="165" formatCode="&quot;$&quot;#,##0"/>
      <fill>
        <patternFill patternType="none">
          <bgColor indexed="65"/>
        </patternFill>
      </fill>
    </odxf>
    <ndxf>
      <font>
        <b/>
      </font>
      <numFmt numFmtId="10" formatCode="&quot;$&quot;#,##0_);[Red]\(&quot;$&quot;#,##0\)"/>
      <fill>
        <patternFill patternType="solid">
          <bgColor theme="0" tint="-0.249977111117893"/>
        </patternFill>
      </fill>
    </ndxf>
  </rcc>
  <rcmt sheetId="4" cell="BO21" guid="{00000000-0000-0000-0000-000000000000}" action="delete" author="silverman"/>
  <rcmt sheetId="4" cell="BO34" guid="{00000000-0000-0000-0000-000000000000}" action="delete" author="silverman"/>
  <rm rId="44058" sheetId="4" source="BO244" destination="BO242" sourceSheetId="4">
    <rcc rId="0" sId="4" dxf="1">
      <nc r="BO242">
        <f>BO41+BO74+#REF!+BO133+BO166+BO188+BO222</f>
      </nc>
      <ndxf>
        <font>
          <sz val="10"/>
          <color auto="1"/>
          <name val="Arial"/>
          <scheme val="none"/>
        </font>
        <numFmt numFmtId="165" formatCode="&quot;$&quot;#,##0"/>
        <fill>
          <patternFill patternType="solid">
            <bgColor theme="0" tint="-0.249977111117893"/>
          </patternFill>
        </fill>
      </ndxf>
    </rcc>
  </rm>
  <rcc rId="44059" sId="4">
    <oc r="BP8">
      <f>BN8-BE8</f>
    </oc>
    <nc r="BP8">
      <f>BO8-BE8</f>
    </nc>
  </rcc>
  <rcc rId="44060" sId="4">
    <oc r="BP9">
      <f>BN9-BE9</f>
    </oc>
    <nc r="BP9">
      <f>BO9-BE9</f>
    </nc>
  </rcc>
  <rcc rId="44061" sId="4">
    <oc r="BP10">
      <f>BN10-BE10</f>
    </oc>
    <nc r="BP10">
      <f>BO10-BE10</f>
    </nc>
  </rcc>
  <rcc rId="44062" sId="4">
    <oc r="BP11">
      <f>BN11-BE11</f>
    </oc>
    <nc r="BP11">
      <f>BO11-BE11</f>
    </nc>
  </rcc>
  <rcc rId="44063" sId="4">
    <oc r="BP12">
      <f>BN12-BE12</f>
    </oc>
    <nc r="BP12">
      <f>BO12-BE12</f>
    </nc>
  </rcc>
  <rcc rId="44064" sId="4">
    <oc r="BP13">
      <f>BN13-BE13</f>
    </oc>
    <nc r="BP13">
      <f>BO13-BE13</f>
    </nc>
  </rcc>
  <rcc rId="44065" sId="4">
    <oc r="BP14">
      <f>BN14-BE14</f>
    </oc>
    <nc r="BP14">
      <f>BO14-BE14</f>
    </nc>
  </rcc>
  <rcc rId="44066" sId="4">
    <oc r="BP15">
      <f>BN15-BE15</f>
    </oc>
    <nc r="BP15">
      <f>BO15-BE15</f>
    </nc>
  </rcc>
  <rcc rId="44067" sId="4">
    <oc r="BP16">
      <f>BN16-BE16</f>
    </oc>
    <nc r="BP16">
      <f>BO16-BE16</f>
    </nc>
  </rcc>
  <rcc rId="44068" sId="4">
    <oc r="BP17">
      <f>BN17-BE17</f>
    </oc>
    <nc r="BP17">
      <f>BO17-BE17</f>
    </nc>
  </rcc>
  <rcc rId="44069" sId="4">
    <oc r="BP18">
      <f>BN18-BE18</f>
    </oc>
    <nc r="BP18">
      <f>BO18-BE18</f>
    </nc>
  </rcc>
  <rcc rId="44070" sId="4">
    <oc r="BP19">
      <f>BN19-BE19</f>
    </oc>
    <nc r="BP19">
      <f>BO19-BE19</f>
    </nc>
  </rcc>
  <rcc rId="44071" sId="4">
    <oc r="BP20">
      <f>BN20-BE20</f>
    </oc>
    <nc r="BP20">
      <f>BO20-BE20</f>
    </nc>
  </rcc>
  <rcc rId="44072" sId="4">
    <oc r="BP21">
      <f>BN21-BE21</f>
    </oc>
    <nc r="BP21">
      <f>BO21-BE21</f>
    </nc>
  </rcc>
  <rcc rId="44073" sId="4">
    <oc r="BP22">
      <f>BN22-BE22</f>
    </oc>
    <nc r="BP22">
      <f>BO22-BE22</f>
    </nc>
  </rcc>
  <rcc rId="44074" sId="4">
    <oc r="BP23">
      <f>BN23-BE23</f>
    </oc>
    <nc r="BP23">
      <f>BO23-BE23</f>
    </nc>
  </rcc>
  <rcc rId="44075" sId="4">
    <oc r="BP24">
      <f>BN24-BE24</f>
    </oc>
    <nc r="BP24">
      <f>BO24-BE24</f>
    </nc>
  </rcc>
  <rcc rId="44076" sId="4">
    <oc r="BP25">
      <f>BN25-BE25</f>
    </oc>
    <nc r="BP25">
      <f>BO25-BE25</f>
    </nc>
  </rcc>
  <rcc rId="44077" sId="4">
    <oc r="BP26">
      <f>BN26-BE26</f>
    </oc>
    <nc r="BP26">
      <f>BO26-BE26</f>
    </nc>
  </rcc>
  <rcc rId="44078" sId="4">
    <oc r="BP27">
      <f>BN27-BE27</f>
    </oc>
    <nc r="BP27">
      <f>BO27-BE27</f>
    </nc>
  </rcc>
  <rcc rId="44079" sId="4">
    <oc r="BP28">
      <f>BN28-BE28</f>
    </oc>
    <nc r="BP28">
      <f>BO28-BE28</f>
    </nc>
  </rcc>
  <rcc rId="44080" sId="4">
    <oc r="BP29">
      <f>BN29-BE29</f>
    </oc>
    <nc r="BP29">
      <f>BO29-BE29</f>
    </nc>
  </rcc>
  <rcc rId="44081" sId="4">
    <oc r="BP30">
      <f>BN30-BE30</f>
    </oc>
    <nc r="BP30">
      <f>BO30-BE30</f>
    </nc>
  </rcc>
  <rcc rId="44082" sId="4">
    <oc r="BP31">
      <f>BN31-BE31</f>
    </oc>
    <nc r="BP31">
      <f>BO31-BE31</f>
    </nc>
  </rcc>
  <rcc rId="44083" sId="4">
    <oc r="BP32">
      <f>BN32-BE32</f>
    </oc>
    <nc r="BP32">
      <f>BO32-BE32</f>
    </nc>
  </rcc>
  <rcc rId="44084" sId="4">
    <oc r="BP33">
      <f>BN33-BE33</f>
    </oc>
    <nc r="BP33">
      <f>BO33-BE33</f>
    </nc>
  </rcc>
  <rcc rId="44085" sId="4">
    <oc r="BP34">
      <f>BN34-BE34</f>
    </oc>
    <nc r="BP34">
      <f>BO34-BE34</f>
    </nc>
  </rcc>
  <rcc rId="44086" sId="4">
    <oc r="BP35">
      <f>BN35-BE35</f>
    </oc>
    <nc r="BP35">
      <f>BO35-BE35</f>
    </nc>
  </rcc>
  <rcc rId="44087" sId="4">
    <oc r="BP36">
      <f>BN36-BE36</f>
    </oc>
    <nc r="BP36">
      <f>BO36-BE36</f>
    </nc>
  </rcc>
  <rcc rId="44088" sId="4">
    <oc r="BP37">
      <f>BN37-BE37</f>
    </oc>
    <nc r="BP37">
      <f>BO37-BE37</f>
    </nc>
  </rcc>
  <rcc rId="44089" sId="4">
    <oc r="BP38">
      <f>BN38-BE38</f>
    </oc>
    <nc r="BP38">
      <f>BO38-BE38</f>
    </nc>
  </rcc>
  <rcc rId="44090" sId="4">
    <oc r="BP39">
      <f>BN39-BE39</f>
    </oc>
    <nc r="BP39">
      <f>BO39-BE39</f>
    </nc>
  </rcc>
  <rcc rId="44091" sId="4">
    <oc r="BP40">
      <f>BN40-BE40</f>
    </oc>
    <nc r="BP40">
      <f>BO40-BE40</f>
    </nc>
  </rcc>
  <rcc rId="44092" sId="4">
    <oc r="BP41">
      <f>BN41-BE41</f>
    </oc>
    <nc r="BP41">
      <f>BO41-BE41</f>
    </nc>
  </rcc>
  <rcc rId="44093" sId="4">
    <oc r="BP42">
      <f>BN42-BE42</f>
    </oc>
    <nc r="BP42">
      <f>BO42-BE42</f>
    </nc>
  </rcc>
  <rcc rId="44094" sId="4">
    <oc r="BP43">
      <f>BN43-BE43</f>
    </oc>
    <nc r="BP43">
      <f>BO43-BE43</f>
    </nc>
  </rcc>
  <rcc rId="44095" sId="4">
    <oc r="BP44">
      <f>BN44-BE44</f>
    </oc>
    <nc r="BP44">
      <f>BO44-BE44</f>
    </nc>
  </rcc>
  <rcc rId="44096" sId="4">
    <oc r="BP45">
      <f>BN45-BE45</f>
    </oc>
    <nc r="BP45">
      <f>BO45-BE45</f>
    </nc>
  </rcc>
  <rcc rId="44097" sId="4">
    <oc r="BP46">
      <f>BN46-BE46</f>
    </oc>
    <nc r="BP46">
      <f>BO46-BE46</f>
    </nc>
  </rcc>
  <rcc rId="44098" sId="4">
    <oc r="BP47">
      <f>BN47-BE47</f>
    </oc>
    <nc r="BP47">
      <f>BO47-BE47</f>
    </nc>
  </rcc>
  <rcc rId="44099" sId="4">
    <oc r="BP48">
      <f>BN48-BE48</f>
    </oc>
    <nc r="BP48">
      <f>BO48-BE48</f>
    </nc>
  </rcc>
  <rcc rId="44100" sId="4">
    <oc r="BP49">
      <f>BN49-BE49</f>
    </oc>
    <nc r="BP49">
      <f>BO49-BE49</f>
    </nc>
  </rcc>
  <rcc rId="44101" sId="4">
    <oc r="BP50">
      <f>BN50-BE50</f>
    </oc>
    <nc r="BP50">
      <f>BO50-BE50</f>
    </nc>
  </rcc>
  <rcc rId="44102" sId="4">
    <oc r="BP51">
      <f>BN51-BE51</f>
    </oc>
    <nc r="BP51">
      <f>BO51-BE51</f>
    </nc>
  </rcc>
  <rcc rId="44103" sId="4">
    <oc r="BP52">
      <f>BN52-BE52</f>
    </oc>
    <nc r="BP52">
      <f>BO52-BE52</f>
    </nc>
  </rcc>
  <rcc rId="44104" sId="4">
    <oc r="BP53">
      <f>BN53-BE53</f>
    </oc>
    <nc r="BP53">
      <f>BO53-BE53</f>
    </nc>
  </rcc>
  <rcc rId="44105" sId="4">
    <oc r="BP54">
      <f>BN54-BE54</f>
    </oc>
    <nc r="BP54">
      <f>BO54-BE54</f>
    </nc>
  </rcc>
  <rcc rId="44106" sId="4">
    <oc r="BP55">
      <f>BN55-BE55</f>
    </oc>
    <nc r="BP55">
      <f>BO55-BE55</f>
    </nc>
  </rcc>
  <rcc rId="44107" sId="4">
    <oc r="BP56">
      <f>BN56-BE56</f>
    </oc>
    <nc r="BP56">
      <f>BO56-BE56</f>
    </nc>
  </rcc>
  <rcc rId="44108" sId="4">
    <oc r="BP57">
      <f>BN57-BE57</f>
    </oc>
    <nc r="BP57">
      <f>BO57-BE57</f>
    </nc>
  </rcc>
  <rcc rId="44109" sId="4">
    <oc r="BP58">
      <f>BN58-BE58</f>
    </oc>
    <nc r="BP58">
      <f>BO58-BE58</f>
    </nc>
  </rcc>
  <rcc rId="44110" sId="4">
    <oc r="BP59">
      <f>BN59-BE59</f>
    </oc>
    <nc r="BP59">
      <f>BO59-BE59</f>
    </nc>
  </rcc>
  <rcc rId="44111" sId="4">
    <oc r="BP60">
      <f>BN60-BE60</f>
    </oc>
    <nc r="BP60">
      <f>BO60-BE60</f>
    </nc>
  </rcc>
  <rcc rId="44112" sId="4">
    <oc r="BP61">
      <f>BN61-BE61</f>
    </oc>
    <nc r="BP61">
      <f>BO61-BE61</f>
    </nc>
  </rcc>
  <rcc rId="44113" sId="4">
    <oc r="BP62">
      <f>BN62-BE62</f>
    </oc>
    <nc r="BP62">
      <f>BO62-BE62</f>
    </nc>
  </rcc>
  <rcc rId="44114" sId="4">
    <oc r="BP63">
      <f>BN63-BE63</f>
    </oc>
    <nc r="BP63">
      <f>BO63-BE63</f>
    </nc>
  </rcc>
  <rcc rId="44115" sId="4">
    <oc r="BP64">
      <f>BN64-BE64</f>
    </oc>
    <nc r="BP64">
      <f>BO64-BE64</f>
    </nc>
  </rcc>
  <rcc rId="44116" sId="4">
    <oc r="BP65">
      <f>BN65-BE65</f>
    </oc>
    <nc r="BP65">
      <f>BO65-BE65</f>
    </nc>
  </rcc>
  <rcc rId="44117" sId="4">
    <oc r="BP66">
      <f>BN66-BE66</f>
    </oc>
    <nc r="BP66">
      <f>BO66-BE66</f>
    </nc>
  </rcc>
  <rcc rId="44118" sId="4">
    <oc r="BP67">
      <f>BN67-BE67</f>
    </oc>
    <nc r="BP67">
      <f>BO67-BE67</f>
    </nc>
  </rcc>
  <rcc rId="44119" sId="4">
    <oc r="BP68">
      <f>BN68-BE68</f>
    </oc>
    <nc r="BP68">
      <f>BO68-BE68</f>
    </nc>
  </rcc>
  <rcc rId="44120" sId="4">
    <oc r="BP69">
      <f>BN69-BE69</f>
    </oc>
    <nc r="BP69">
      <f>BO69-BE69</f>
    </nc>
  </rcc>
  <rcc rId="44121" sId="4">
    <oc r="BP70">
      <f>BN70-BE70</f>
    </oc>
    <nc r="BP70">
      <f>BO70-BE70</f>
    </nc>
  </rcc>
  <rcc rId="44122" sId="4">
    <oc r="BP71">
      <f>BN71-BE71</f>
    </oc>
    <nc r="BP71">
      <f>BO71-BE71</f>
    </nc>
  </rcc>
  <rcc rId="44123" sId="4">
    <oc r="BP72">
      <f>BN72-BE72</f>
    </oc>
    <nc r="BP72">
      <f>BO72-BE72</f>
    </nc>
  </rcc>
  <rcc rId="44124" sId="4">
    <oc r="BP73">
      <f>BN73-BE73</f>
    </oc>
    <nc r="BP73">
      <f>BO73-BE73</f>
    </nc>
  </rcc>
  <rcc rId="44125" sId="4">
    <oc r="BP74">
      <f>BN74-BE74</f>
    </oc>
    <nc r="BP74">
      <f>BO74-BE74</f>
    </nc>
  </rcc>
  <rcc rId="44126" sId="4">
    <oc r="BP75">
      <f>BN75-BE75</f>
    </oc>
    <nc r="BP75">
      <f>BO75-BE75</f>
    </nc>
  </rcc>
  <rcc rId="44127" sId="4">
    <oc r="BP76">
      <f>BN76-BE76</f>
    </oc>
    <nc r="BP76">
      <f>BO76-BE76</f>
    </nc>
  </rcc>
  <rcc rId="44128" sId="4">
    <oc r="BP77">
      <f>BN77-BE77</f>
    </oc>
    <nc r="BP77">
      <f>BO77-BE77</f>
    </nc>
  </rcc>
  <rcc rId="44129" sId="4">
    <oc r="BP78">
      <f>BN78-BE78</f>
    </oc>
    <nc r="BP78">
      <f>BO78-BE78</f>
    </nc>
  </rcc>
  <rcc rId="44130" sId="4">
    <oc r="BP79">
      <f>BN79-BE79</f>
    </oc>
    <nc r="BP79">
      <f>BO79-BE79</f>
    </nc>
  </rcc>
  <rcc rId="44131" sId="4">
    <oc r="BP80">
      <f>BN80-BE80</f>
    </oc>
    <nc r="BP80">
      <f>BO80-BE80</f>
    </nc>
  </rcc>
  <rcc rId="44132" sId="4">
    <oc r="BP81">
      <f>BN81-BE81</f>
    </oc>
    <nc r="BP81">
      <f>BO81-BE81</f>
    </nc>
  </rcc>
  <rcc rId="44133" sId="4">
    <oc r="BP82">
      <f>BN82-BE82</f>
    </oc>
    <nc r="BP82">
      <f>BO82-BE82</f>
    </nc>
  </rcc>
  <rcc rId="44134" sId="4">
    <oc r="BP83">
      <f>BN83-BE83</f>
    </oc>
    <nc r="BP83">
      <f>BO83-BE83</f>
    </nc>
  </rcc>
  <rcc rId="44135" sId="4">
    <oc r="BP84">
      <f>BN84-BE84</f>
    </oc>
    <nc r="BP84">
      <f>BO84-BE84</f>
    </nc>
  </rcc>
  <rcc rId="44136" sId="4">
    <oc r="BP85">
      <f>BN85-BE85</f>
    </oc>
    <nc r="BP85">
      <f>BO85-BE85</f>
    </nc>
  </rcc>
  <rcc rId="44137" sId="4">
    <oc r="BP86">
      <f>BN86-BE86</f>
    </oc>
    <nc r="BP86">
      <f>BO86-BE86</f>
    </nc>
  </rcc>
  <rcc rId="44138" sId="4">
    <oc r="BP87">
      <f>BN87-BE87</f>
    </oc>
    <nc r="BP87">
      <f>BO87-BE87</f>
    </nc>
  </rcc>
  <rcc rId="44139" sId="4">
    <oc r="BP88">
      <f>BN88-BE88</f>
    </oc>
    <nc r="BP88">
      <f>BO88-BE88</f>
    </nc>
  </rcc>
  <rcc rId="44140" sId="4">
    <oc r="BP89">
      <f>BN89-BE89</f>
    </oc>
    <nc r="BP89">
      <f>BO89-BE89</f>
    </nc>
  </rcc>
  <rcc rId="44141" sId="4">
    <oc r="BP90">
      <f>BN90-BE90</f>
    </oc>
    <nc r="BP90">
      <f>BO90-BE90</f>
    </nc>
  </rcc>
  <rcc rId="44142" sId="4">
    <oc r="BP91">
      <f>BN91-BE91</f>
    </oc>
    <nc r="BP91">
      <f>BO91-BE91</f>
    </nc>
  </rcc>
  <rcc rId="44143" sId="4">
    <oc r="BP92">
      <f>BN92-BE92</f>
    </oc>
    <nc r="BP92">
      <f>BO92-BE92</f>
    </nc>
  </rcc>
  <rcc rId="44144" sId="4">
    <oc r="BP93">
      <f>BN93-BE93</f>
    </oc>
    <nc r="BP93">
      <f>BO93-BE93</f>
    </nc>
  </rcc>
  <rcc rId="44145" sId="4">
    <oc r="BP94">
      <f>BN94-BE94</f>
    </oc>
    <nc r="BP94">
      <f>BO94-BE94</f>
    </nc>
  </rcc>
  <rcc rId="44146" sId="4">
    <oc r="BP95">
      <f>BN95-BE95</f>
    </oc>
    <nc r="BP95">
      <f>BO95-BE95</f>
    </nc>
  </rcc>
  <rcc rId="44147" sId="4">
    <oc r="BP96">
      <f>BN96-BE96</f>
    </oc>
    <nc r="BP96">
      <f>BO96-BE96</f>
    </nc>
  </rcc>
  <rcc rId="44148" sId="4">
    <oc r="BP97">
      <f>BN97-BE97</f>
    </oc>
    <nc r="BP97">
      <f>BO97-BE97</f>
    </nc>
  </rcc>
  <rcc rId="44149" sId="4">
    <oc r="BP98">
      <f>BN98-BE98</f>
    </oc>
    <nc r="BP98">
      <f>BO98-BE98</f>
    </nc>
  </rcc>
  <rcc rId="44150" sId="4">
    <oc r="BP99">
      <f>BN99-BE99</f>
    </oc>
    <nc r="BP99">
      <f>BO99-BE99</f>
    </nc>
  </rcc>
  <rcc rId="44151" sId="4">
    <oc r="BP100">
      <f>BN100-BE100</f>
    </oc>
    <nc r="BP100">
      <f>BO100-BE100</f>
    </nc>
  </rcc>
  <rcc rId="44152" sId="4">
    <oc r="BP101">
      <f>BN101-BE101</f>
    </oc>
    <nc r="BP101">
      <f>BO101-BE101</f>
    </nc>
  </rcc>
  <rcc rId="44153" sId="4">
    <oc r="BP102">
      <f>BN102-BE102</f>
    </oc>
    <nc r="BP102">
      <f>BO102-BE102</f>
    </nc>
  </rcc>
  <rcc rId="44154" sId="4">
    <oc r="BP103">
      <f>BN103-BE103</f>
    </oc>
    <nc r="BP103">
      <f>BO103-BE103</f>
    </nc>
  </rcc>
  <rcc rId="44155" sId="4">
    <oc r="BP104">
      <f>BN104-BE104</f>
    </oc>
    <nc r="BP104">
      <f>BO104-BE104</f>
    </nc>
  </rcc>
  <rcc rId="44156" sId="4">
    <oc r="BP105">
      <f>BN105-BE105</f>
    </oc>
    <nc r="BP105">
      <f>BO105-BE105</f>
    </nc>
  </rcc>
  <rcc rId="44157" sId="4">
    <oc r="BP106">
      <f>BN106-BE106</f>
    </oc>
    <nc r="BP106">
      <f>BO106-BE106</f>
    </nc>
  </rcc>
  <rcc rId="44158" sId="4">
    <oc r="BP107">
      <f>BN107-BE107</f>
    </oc>
    <nc r="BP107">
      <f>BO107-BE107</f>
    </nc>
  </rcc>
  <rcc rId="44159" sId="4">
    <oc r="BP108">
      <f>BN108-BE108</f>
    </oc>
    <nc r="BP108">
      <f>BO108-BE108</f>
    </nc>
  </rcc>
  <rcc rId="44160" sId="4">
    <oc r="BP109">
      <f>BN110-BE109</f>
    </oc>
    <nc r="BP109">
      <f>BO109-BE109</f>
    </nc>
  </rcc>
  <rcc rId="44161" sId="4">
    <oc r="BP110">
      <f>BN110-BE110</f>
    </oc>
    <nc r="BP110">
      <f>BO110-BE110</f>
    </nc>
  </rcc>
  <rcc rId="44162" sId="4">
    <oc r="BP111">
      <f>BN111-BE111</f>
    </oc>
    <nc r="BP111">
      <f>BO111-BE111</f>
    </nc>
  </rcc>
  <rcc rId="44163" sId="4">
    <oc r="BP112">
      <f>BN112-BE112</f>
    </oc>
    <nc r="BP112">
      <f>BO112-BE112</f>
    </nc>
  </rcc>
  <rcc rId="44164" sId="4">
    <oc r="BP113">
      <f>BN113-BE113</f>
    </oc>
    <nc r="BP113">
      <f>BO113-BE113</f>
    </nc>
  </rcc>
  <rcc rId="44165" sId="4">
    <oc r="BP114">
      <f>BN114-BE114</f>
    </oc>
    <nc r="BP114">
      <f>BO114-BE114</f>
    </nc>
  </rcc>
  <rcc rId="44166" sId="4">
    <oc r="BP115">
      <f>BN115-BE115</f>
    </oc>
    <nc r="BP115">
      <f>BO115-BE115</f>
    </nc>
  </rcc>
  <rcc rId="44167" sId="4">
    <oc r="BP116">
      <f>BN116-BE116</f>
    </oc>
    <nc r="BP116">
      <f>BO116-BE116</f>
    </nc>
  </rcc>
  <rcc rId="44168" sId="4">
    <oc r="BP117">
      <f>BN117-BE117</f>
    </oc>
    <nc r="BP117">
      <f>BO117-BE117</f>
    </nc>
  </rcc>
  <rcc rId="44169" sId="4">
    <oc r="BP118">
      <f>BN118-BE118</f>
    </oc>
    <nc r="BP118">
      <f>BO118-BE118</f>
    </nc>
  </rcc>
  <rcc rId="44170" sId="4">
    <oc r="BP119">
      <f>BN119-BE119</f>
    </oc>
    <nc r="BP119">
      <f>BO119-BE119</f>
    </nc>
  </rcc>
  <rcc rId="44171" sId="4">
    <oc r="BP120">
      <f>BN120-BE120</f>
    </oc>
    <nc r="BP120">
      <f>BO120-BE120</f>
    </nc>
  </rcc>
  <rcc rId="44172" sId="4">
    <oc r="BP121">
      <f>BN121-BE121</f>
    </oc>
    <nc r="BP121">
      <f>BO121-BE121</f>
    </nc>
  </rcc>
  <rcc rId="44173" sId="4">
    <oc r="BP122">
      <f>BN122-BE122</f>
    </oc>
    <nc r="BP122">
      <f>BO122-BE122</f>
    </nc>
  </rcc>
  <rcc rId="44174" sId="4">
    <oc r="BP123">
      <f>BN123-BE123</f>
    </oc>
    <nc r="BP123">
      <f>BO123-BE123</f>
    </nc>
  </rcc>
  <rcc rId="44175" sId="4">
    <oc r="BP124">
      <f>BN124-BE124</f>
    </oc>
    <nc r="BP124">
      <f>BO124-BE124</f>
    </nc>
  </rcc>
  <rcc rId="44176" sId="4">
    <oc r="BP125">
      <f>BN125-BE125</f>
    </oc>
    <nc r="BP125">
      <f>BO125-BE125</f>
    </nc>
  </rcc>
  <rcc rId="44177" sId="4">
    <oc r="BP126">
      <f>BN126-BE126</f>
    </oc>
    <nc r="BP126">
      <f>BO126-BE126</f>
    </nc>
  </rcc>
  <rcc rId="44178" sId="4">
    <oc r="BP127">
      <f>BN127-BE127</f>
    </oc>
    <nc r="BP127">
      <f>BO127-BE127</f>
    </nc>
  </rcc>
  <rcc rId="44179" sId="4">
    <oc r="BP128">
      <f>BN128-BE128</f>
    </oc>
    <nc r="BP128">
      <f>BO128-BE128</f>
    </nc>
  </rcc>
  <rcc rId="44180" sId="4">
    <oc r="BP129">
      <f>BN129-BE129</f>
    </oc>
    <nc r="BP129">
      <f>BO129-BE129</f>
    </nc>
  </rcc>
  <rcc rId="44181" sId="4">
    <oc r="BP130">
      <f>BN130-BE130</f>
    </oc>
    <nc r="BP130">
      <f>BO130-BE130</f>
    </nc>
  </rcc>
  <rcc rId="44182" sId="4">
    <oc r="BP131">
      <f>BN131-BE131</f>
    </oc>
    <nc r="BP131">
      <f>BO131-BE131</f>
    </nc>
  </rcc>
  <rcc rId="44183" sId="4">
    <oc r="BP132">
      <f>BN132-BE132</f>
    </oc>
    <nc r="BP132">
      <f>BO132-BE132</f>
    </nc>
  </rcc>
  <rcc rId="44184" sId="4">
    <oc r="BP133">
      <f>BN133-BE133</f>
    </oc>
    <nc r="BP133">
      <f>BO133-BE133</f>
    </nc>
  </rcc>
  <rcc rId="44185" sId="4">
    <oc r="BP134">
      <f>BN134-BE134</f>
    </oc>
    <nc r="BP134">
      <f>BO134-BE134</f>
    </nc>
  </rcc>
  <rcc rId="44186" sId="4">
    <oc r="BP135">
      <f>BN135-BE135</f>
    </oc>
    <nc r="BP135">
      <f>BO135-BE135</f>
    </nc>
  </rcc>
  <rcc rId="44187" sId="4">
    <oc r="BP136">
      <f>BN136-BE136</f>
    </oc>
    <nc r="BP136">
      <f>BO136-BE136</f>
    </nc>
  </rcc>
  <rcc rId="44188" sId="4">
    <oc r="BP137">
      <f>BN137-BE137</f>
    </oc>
    <nc r="BP137">
      <f>BO137-BE137</f>
    </nc>
  </rcc>
  <rcc rId="44189" sId="4">
    <oc r="BP138">
      <f>BN138-BE138</f>
    </oc>
    <nc r="BP138">
      <f>BO138-BE138</f>
    </nc>
  </rcc>
  <rcc rId="44190" sId="4">
    <oc r="BP139">
      <f>BN139-BE139</f>
    </oc>
    <nc r="BP139">
      <f>BO139-BE139</f>
    </nc>
  </rcc>
  <rcc rId="44191" sId="4">
    <oc r="BP140">
      <f>BN140-BE140</f>
    </oc>
    <nc r="BP140">
      <f>BO140-BE140</f>
    </nc>
  </rcc>
  <rcc rId="44192" sId="4">
    <oc r="BP141">
      <f>BN141-BE141</f>
    </oc>
    <nc r="BP141">
      <f>BO141-BE141</f>
    </nc>
  </rcc>
  <rcc rId="44193" sId="4">
    <oc r="BP142">
      <f>BN142-BE142</f>
    </oc>
    <nc r="BP142">
      <f>BO142-BE142</f>
    </nc>
  </rcc>
  <rcc rId="44194" sId="4">
    <oc r="BP143">
      <f>BN143-BE143</f>
    </oc>
    <nc r="BP143">
      <f>BO143-BE143</f>
    </nc>
  </rcc>
  <rcc rId="44195" sId="4">
    <oc r="BP144">
      <f>BN144-BE144</f>
    </oc>
    <nc r="BP144">
      <f>BO144-BE144</f>
    </nc>
  </rcc>
  <rcc rId="44196" sId="4">
    <oc r="BP145">
      <f>BN145-BE145</f>
    </oc>
    <nc r="BP145">
      <f>BO145-BE145</f>
    </nc>
  </rcc>
  <rcc rId="44197" sId="4">
    <oc r="BP146">
      <f>BN146-BE146</f>
    </oc>
    <nc r="BP146">
      <f>BO146-BE146</f>
    </nc>
  </rcc>
  <rcc rId="44198" sId="4">
    <oc r="BP147">
      <f>BN147-BE147</f>
    </oc>
    <nc r="BP147">
      <f>BO147-BE147</f>
    </nc>
  </rcc>
  <rcc rId="44199" sId="4">
    <oc r="BP148">
      <f>BN148-BE148</f>
    </oc>
    <nc r="BP148">
      <f>BO148-BE148</f>
    </nc>
  </rcc>
  <rcc rId="44200" sId="4">
    <oc r="BP149">
      <f>BN149-BE149</f>
    </oc>
    <nc r="BP149">
      <f>BO149-BE149</f>
    </nc>
  </rcc>
  <rcc rId="44201" sId="4">
    <oc r="BP150">
      <f>BN150-BE150</f>
    </oc>
    <nc r="BP150">
      <f>BO150-BE150</f>
    </nc>
  </rcc>
  <rcc rId="44202" sId="4">
    <oc r="BP151">
      <f>BN151-BE151</f>
    </oc>
    <nc r="BP151">
      <f>BO151-BE151</f>
    </nc>
  </rcc>
  <rcc rId="44203" sId="4">
    <oc r="BP152">
      <f>BN152-BE152</f>
    </oc>
    <nc r="BP152">
      <f>BO152-BE152</f>
    </nc>
  </rcc>
  <rcc rId="44204" sId="4">
    <oc r="BP153">
      <f>BN153-BE153</f>
    </oc>
    <nc r="BP153">
      <f>BO153-BE153</f>
    </nc>
  </rcc>
  <rcc rId="44205" sId="4">
    <oc r="BP154">
      <f>BN154-BE154</f>
    </oc>
    <nc r="BP154">
      <f>BO154-BE154</f>
    </nc>
  </rcc>
  <rcc rId="44206" sId="4">
    <oc r="BP155">
      <f>BN155-BE155</f>
    </oc>
    <nc r="BP155">
      <f>BO155-BE155</f>
    </nc>
  </rcc>
  <rcc rId="44207" sId="4">
    <oc r="BP156">
      <f>BN156-BE156</f>
    </oc>
    <nc r="BP156">
      <f>BO156-BE156</f>
    </nc>
  </rcc>
  <rcc rId="44208" sId="4">
    <oc r="BP157">
      <f>BN157-BE157</f>
    </oc>
    <nc r="BP157">
      <f>BO157-BE157</f>
    </nc>
  </rcc>
  <rcc rId="44209" sId="4">
    <oc r="BP158">
      <f>BN158-BE158</f>
    </oc>
    <nc r="BP158">
      <f>BO158-BE158</f>
    </nc>
  </rcc>
  <rcc rId="44210" sId="4">
    <oc r="BP159">
      <f>BN159-BE159</f>
    </oc>
    <nc r="BP159">
      <f>BO159-BE159</f>
    </nc>
  </rcc>
  <rcc rId="44211" sId="4">
    <oc r="BP160">
      <f>BN160-BE160</f>
    </oc>
    <nc r="BP160">
      <f>BO160-BE160</f>
    </nc>
  </rcc>
  <rcc rId="44212" sId="4">
    <oc r="BP161">
      <f>BN161-BE161</f>
    </oc>
    <nc r="BP161">
      <f>BO161-BE161</f>
    </nc>
  </rcc>
  <rcc rId="44213" sId="4">
    <oc r="BP162">
      <f>BN162-BE162</f>
    </oc>
    <nc r="BP162">
      <f>BO162-BE162</f>
    </nc>
  </rcc>
  <rcc rId="44214" sId="4">
    <oc r="BP163">
      <f>BN163-BE163</f>
    </oc>
    <nc r="BP163">
      <f>BO163-BE163</f>
    </nc>
  </rcc>
  <rcc rId="44215" sId="4">
    <oc r="BP164">
      <f>BN164-BE164</f>
    </oc>
    <nc r="BP164">
      <f>BO164-BE164</f>
    </nc>
  </rcc>
  <rcc rId="44216" sId="4">
    <oc r="BP165">
      <f>BN165-BE165</f>
    </oc>
    <nc r="BP165">
      <f>BO165-BE165</f>
    </nc>
  </rcc>
  <rcc rId="44217" sId="4">
    <oc r="BP166">
      <f>BN167-BE166</f>
    </oc>
    <nc r="BP166">
      <f>BO166-BE166</f>
    </nc>
  </rcc>
  <rcc rId="44218" sId="4">
    <oc r="BP167">
      <f>BN167-BE167</f>
    </oc>
    <nc r="BP167">
      <f>BO167-BE167</f>
    </nc>
  </rcc>
  <rcc rId="44219" sId="4">
    <oc r="BP168">
      <f>BN168-BE168</f>
    </oc>
    <nc r="BP168">
      <f>BO168-BE168</f>
    </nc>
  </rcc>
  <rcc rId="44220" sId="4">
    <oc r="BP169">
      <f>BN169-BE169</f>
    </oc>
    <nc r="BP169">
      <f>BO169-BE169</f>
    </nc>
  </rcc>
  <rcc rId="44221" sId="4">
    <oc r="BP170">
      <f>BN170-BE170</f>
    </oc>
    <nc r="BP170">
      <f>BO170-BE170</f>
    </nc>
  </rcc>
  <rcc rId="44222" sId="4">
    <oc r="BP171">
      <f>BN171-BE171</f>
    </oc>
    <nc r="BP171">
      <f>BO171-BE171</f>
    </nc>
  </rcc>
  <rcc rId="44223" sId="4">
    <oc r="BP172">
      <f>BN172-BE172</f>
    </oc>
    <nc r="BP172">
      <f>BO172-BE172</f>
    </nc>
  </rcc>
  <rcc rId="44224" sId="4">
    <oc r="BP173">
      <f>BN173-BE173</f>
    </oc>
    <nc r="BP173">
      <f>BO173-BE173</f>
    </nc>
  </rcc>
  <rcc rId="44225" sId="4">
    <oc r="BP174">
      <f>BN174-BE174</f>
    </oc>
    <nc r="BP174">
      <f>BO174-BE174</f>
    </nc>
  </rcc>
  <rcc rId="44226" sId="4">
    <oc r="BP175">
      <f>BN175-BE175</f>
    </oc>
    <nc r="BP175">
      <f>BO175-BE175</f>
    </nc>
  </rcc>
  <rcc rId="44227" sId="4">
    <oc r="BP176">
      <f>BN176-BE176</f>
    </oc>
    <nc r="BP176">
      <f>BO176-BE176</f>
    </nc>
  </rcc>
  <rcc rId="44228" sId="4">
    <oc r="BP177">
      <f>BN177-BE177</f>
    </oc>
    <nc r="BP177">
      <f>BO177-BE177</f>
    </nc>
  </rcc>
  <rcc rId="44229" sId="4">
    <oc r="BP178">
      <f>BN178-BE178</f>
    </oc>
    <nc r="BP178">
      <f>BO178-BE178</f>
    </nc>
  </rcc>
  <rcc rId="44230" sId="4">
    <oc r="BP179">
      <f>BN179-BE179</f>
    </oc>
    <nc r="BP179">
      <f>BO179-BE179</f>
    </nc>
  </rcc>
  <rcc rId="44231" sId="4">
    <oc r="BP180">
      <f>BN180-BE180</f>
    </oc>
    <nc r="BP180">
      <f>BO180-BE180</f>
    </nc>
  </rcc>
  <rcc rId="44232" sId="4">
    <oc r="BP181">
      <f>BN181-BE181</f>
    </oc>
    <nc r="BP181">
      <f>BO181-BE181</f>
    </nc>
  </rcc>
  <rcc rId="44233" sId="4">
    <oc r="BP182">
      <f>BN182-BE182</f>
    </oc>
    <nc r="BP182">
      <f>BO182-BE182</f>
    </nc>
  </rcc>
  <rcc rId="44234" sId="4">
    <oc r="BP183">
      <f>BN183-BE183</f>
    </oc>
    <nc r="BP183">
      <f>BO183-BE183</f>
    </nc>
  </rcc>
  <rcc rId="44235" sId="4">
    <oc r="BP184">
      <f>BN184-BE184</f>
    </oc>
    <nc r="BP184">
      <f>BO184-BE184</f>
    </nc>
  </rcc>
  <rcc rId="44236" sId="4">
    <oc r="BP185">
      <f>BN185-BE185</f>
    </oc>
    <nc r="BP185">
      <f>BO185-BE185</f>
    </nc>
  </rcc>
  <rcc rId="44237" sId="4">
    <oc r="BP186">
      <f>BN186-BE186</f>
    </oc>
    <nc r="BP186">
      <f>BO186-BE186</f>
    </nc>
  </rcc>
  <rcc rId="44238" sId="4">
    <oc r="BP187">
      <f>BN187-BE187</f>
    </oc>
    <nc r="BP187">
      <f>BO187-BE187</f>
    </nc>
  </rcc>
  <rcc rId="44239" sId="4">
    <oc r="BP188">
      <f>BN188-BE188</f>
    </oc>
    <nc r="BP188">
      <f>BO188-BE188</f>
    </nc>
  </rcc>
  <rcc rId="44240" sId="4">
    <oc r="BP189">
      <f>BN189-BE189</f>
    </oc>
    <nc r="BP189">
      <f>BO189-BE189</f>
    </nc>
  </rcc>
  <rcc rId="44241" sId="4">
    <oc r="BP190">
      <f>BN190-BE190</f>
    </oc>
    <nc r="BP190">
      <f>BO190-BE190</f>
    </nc>
  </rcc>
  <rcc rId="44242" sId="4">
    <oc r="BP191">
      <f>BN191-BE191</f>
    </oc>
    <nc r="BP191">
      <f>BO191-BE191</f>
    </nc>
  </rcc>
  <rcc rId="44243" sId="4">
    <oc r="BP192">
      <f>BN192-BE192</f>
    </oc>
    <nc r="BP192">
      <f>BO192-BE192</f>
    </nc>
  </rcc>
  <rcc rId="44244" sId="4">
    <oc r="BP193">
      <f>BN193-BE193</f>
    </oc>
    <nc r="BP193">
      <f>BO193-BE193</f>
    </nc>
  </rcc>
  <rcc rId="44245" sId="4">
    <oc r="BP194">
      <f>BN194-BE194</f>
    </oc>
    <nc r="BP194">
      <f>BO194-BE194</f>
    </nc>
  </rcc>
  <rcc rId="44246" sId="4">
    <oc r="BP195">
      <f>BN195-BE195</f>
    </oc>
    <nc r="BP195">
      <f>BO195-BE195</f>
    </nc>
  </rcc>
  <rcc rId="44247" sId="4">
    <oc r="BP196">
      <f>BN196-BE196</f>
    </oc>
    <nc r="BP196">
      <f>BO196-BE196</f>
    </nc>
  </rcc>
  <rcc rId="44248" sId="4">
    <oc r="BP197">
      <f>BN197-BE197</f>
    </oc>
    <nc r="BP197">
      <f>BO197-BE197</f>
    </nc>
  </rcc>
  <rcc rId="44249" sId="4">
    <oc r="BP198">
      <f>BN198-BE198</f>
    </oc>
    <nc r="BP198">
      <f>BO198-BE198</f>
    </nc>
  </rcc>
  <rcc rId="44250" sId="4">
    <oc r="BP199">
      <f>BN199-BE199</f>
    </oc>
    <nc r="BP199">
      <f>BO199-BE199</f>
    </nc>
  </rcc>
  <rcc rId="44251" sId="4">
    <oc r="BP200">
      <f>BN200-BE200</f>
    </oc>
    <nc r="BP200">
      <f>BO200-BE200</f>
    </nc>
  </rcc>
  <rcc rId="44252" sId="4">
    <oc r="BP201">
      <f>BN201-BE201</f>
    </oc>
    <nc r="BP201">
      <f>BO201-BE201</f>
    </nc>
  </rcc>
  <rcc rId="44253" sId="4">
    <oc r="BP202">
      <f>BN202-BE202</f>
    </oc>
    <nc r="BP202">
      <f>BO202-BE202</f>
    </nc>
  </rcc>
  <rcc rId="44254" sId="4">
    <oc r="BP203">
      <f>BN203-BE203</f>
    </oc>
    <nc r="BP203">
      <f>BO203-BE203</f>
    </nc>
  </rcc>
  <rcc rId="44255" sId="4">
    <oc r="BP204">
      <f>BN204-BE204</f>
    </oc>
    <nc r="BP204">
      <f>BO204-BE204</f>
    </nc>
  </rcc>
  <rcc rId="44256" sId="4">
    <oc r="BP205">
      <f>BN205-BE205</f>
    </oc>
    <nc r="BP205">
      <f>BO205-BE205</f>
    </nc>
  </rcc>
  <rcc rId="44257" sId="4">
    <oc r="BP206">
      <f>BN206-BE206</f>
    </oc>
    <nc r="BP206">
      <f>BO206-BE206</f>
    </nc>
  </rcc>
  <rcc rId="44258" sId="4">
    <oc r="BP207">
      <f>BN207-BE207</f>
    </oc>
    <nc r="BP207">
      <f>BO207-BE207</f>
    </nc>
  </rcc>
  <rcc rId="44259" sId="4">
    <oc r="BP208">
      <f>BN208-BE208</f>
    </oc>
    <nc r="BP208">
      <f>BO208-BE208</f>
    </nc>
  </rcc>
  <rcc rId="44260" sId="4">
    <oc r="BP209">
      <f>BN209-BE209</f>
    </oc>
    <nc r="BP209">
      <f>BO209-BE209</f>
    </nc>
  </rcc>
  <rcc rId="44261" sId="4">
    <oc r="BP210">
      <f>BN210-BE210</f>
    </oc>
    <nc r="BP210">
      <f>BO210-BE210</f>
    </nc>
  </rcc>
  <rcc rId="44262" sId="4">
    <oc r="BP211">
      <f>BN211-BE211</f>
    </oc>
    <nc r="BP211">
      <f>BO211-BE211</f>
    </nc>
  </rcc>
  <rcc rId="44263" sId="4">
    <oc r="BP212">
      <f>BN212-BE212</f>
    </oc>
    <nc r="BP212">
      <f>BO212-BE212</f>
    </nc>
  </rcc>
  <rcc rId="44264" sId="4">
    <oc r="BP213">
      <f>BN213-BE213</f>
    </oc>
    <nc r="BP213">
      <f>BO213-BE213</f>
    </nc>
  </rcc>
  <rcc rId="44265" sId="4">
    <oc r="BP214">
      <f>BN214-BE214</f>
    </oc>
    <nc r="BP214">
      <f>BO214-BE214</f>
    </nc>
  </rcc>
  <rcc rId="44266" sId="4">
    <oc r="BP215">
      <f>BN215-BE215</f>
    </oc>
    <nc r="BP215">
      <f>BO215-BE215</f>
    </nc>
  </rcc>
  <rcc rId="44267" sId="4">
    <oc r="BP216">
      <f>BN216-BE216</f>
    </oc>
    <nc r="BP216">
      <f>BO216-BE216</f>
    </nc>
  </rcc>
  <rcc rId="44268" sId="4">
    <oc r="BP217">
      <f>BN217-BE217</f>
    </oc>
    <nc r="BP217">
      <f>BO217-BE217</f>
    </nc>
  </rcc>
  <rcc rId="44269" sId="4">
    <oc r="BP218">
      <f>BN218-BE218</f>
    </oc>
    <nc r="BP218">
      <f>BO218-BE218</f>
    </nc>
  </rcc>
  <rcc rId="44270" sId="4">
    <oc r="BP219">
      <f>BN219-BE219</f>
    </oc>
    <nc r="BP219">
      <f>BO219-BE219</f>
    </nc>
  </rcc>
  <rcc rId="44271" sId="4">
    <oc r="BP220">
      <f>BN220-BE220</f>
    </oc>
    <nc r="BP220">
      <f>BO220-BE220</f>
    </nc>
  </rcc>
  <rcc rId="44272" sId="4">
    <oc r="BP221">
      <f>BN221-BE221</f>
    </oc>
    <nc r="BP221">
      <f>BO221-BE221</f>
    </nc>
  </rcc>
  <rcc rId="44273" sId="4">
    <oc r="BP222">
      <f>BN222-BE222</f>
    </oc>
    <nc r="BP222">
      <f>BO222-BE222</f>
    </nc>
  </rcc>
  <rcc rId="44274" sId="4">
    <oc r="BP223">
      <f>BN223-BE223</f>
    </oc>
    <nc r="BP223">
      <f>BO223-BE223</f>
    </nc>
  </rcc>
  <rcc rId="44275" sId="4">
    <oc r="BP224">
      <f>BN224-BE224</f>
    </oc>
    <nc r="BP224">
      <f>BO224-BE224</f>
    </nc>
  </rcc>
  <rcc rId="44276" sId="4">
    <oc r="BP225">
      <f>BN225-BE225</f>
    </oc>
    <nc r="BP225">
      <f>BO225-BE225</f>
    </nc>
  </rcc>
  <rcc rId="44277" sId="4">
    <oc r="BP226">
      <f>BN226-BE226</f>
    </oc>
    <nc r="BP226">
      <f>BO226-BE226</f>
    </nc>
  </rcc>
  <rcc rId="44278" sId="4">
    <oc r="BP227">
      <f>BN227-BE227</f>
    </oc>
    <nc r="BP227">
      <f>BO227-BE227</f>
    </nc>
  </rcc>
  <rcc rId="44279" sId="4">
    <oc r="BP228">
      <f>BN228-BE228</f>
    </oc>
    <nc r="BP228">
      <f>BO228-BE228</f>
    </nc>
  </rcc>
  <rcc rId="44280" sId="4">
    <oc r="BP229">
      <f>BN229-BE229</f>
    </oc>
    <nc r="BP229">
      <f>BO229-BE229</f>
    </nc>
  </rcc>
  <rcc rId="44281" sId="4">
    <oc r="BP230">
      <f>BN230-BE230</f>
    </oc>
    <nc r="BP230">
      <f>BO230-BE230</f>
    </nc>
  </rcc>
  <rcc rId="44282" sId="4">
    <oc r="BP231">
      <f>BN231-BE231</f>
    </oc>
    <nc r="BP231">
      <f>BO231-BE231</f>
    </nc>
  </rcc>
  <rcc rId="44283" sId="4">
    <oc r="BP232">
      <f>BN232-BE232</f>
    </oc>
    <nc r="BP232">
      <f>BO232-BE232</f>
    </nc>
  </rcc>
  <rcc rId="44284" sId="4">
    <oc r="BP233">
      <f>BN233-BE233</f>
    </oc>
    <nc r="BP233">
      <f>BO233-BE233</f>
    </nc>
  </rcc>
  <rcc rId="44285" sId="4">
    <oc r="BP234">
      <f>BN234-BE234</f>
    </oc>
    <nc r="BP234">
      <f>BO234-BE234</f>
    </nc>
  </rcc>
  <rcc rId="44286" sId="4">
    <oc r="BP235">
      <f>BN235-BE235</f>
    </oc>
    <nc r="BP235">
      <f>BO235-BE235</f>
    </nc>
  </rcc>
  <rcc rId="44287" sId="4">
    <oc r="BP236">
      <f>BN236-BE236</f>
    </oc>
    <nc r="BP236">
      <f>BO236-BE236</f>
    </nc>
  </rcc>
  <rcc rId="44288" sId="4">
    <oc r="BP237">
      <f>BN237-BE237</f>
    </oc>
    <nc r="BP237">
      <f>BO237-BE237</f>
    </nc>
  </rcc>
  <rcc rId="44289" sId="4">
    <oc r="BP238">
      <f>BN238-BE238</f>
    </oc>
    <nc r="BP238">
      <f>BO238-BE238</f>
    </nc>
  </rcc>
  <rcc rId="44290" sId="4">
    <oc r="BP239">
      <f>BN239-BE239</f>
    </oc>
    <nc r="BP239">
      <f>BO239-BE239</f>
    </nc>
  </rcc>
  <rcc rId="44291" sId="4">
    <oc r="BP240">
      <f>BN240-BE240</f>
    </oc>
    <nc r="BP240">
      <f>BO240-BE240</f>
    </nc>
  </rcc>
  <rcc rId="44292" sId="4">
    <oc r="BP241">
      <f>BN241-BE241</f>
    </oc>
    <nc r="BP241">
      <f>BO241-BE241</f>
    </nc>
  </rcc>
  <rcc rId="44293" sId="4">
    <oc r="BP242">
      <f>BN242-BE242</f>
    </oc>
    <nc r="BP242">
      <f>BO242-BE242</f>
    </nc>
  </rcc>
  <rfmt sheetId="2" sqref="AO11" start="0" length="0">
    <dxf>
      <font>
        <b/>
        <sz val="10"/>
        <color auto="1"/>
        <name val="Arial"/>
        <scheme val="none"/>
      </font>
      <numFmt numFmtId="165" formatCode="&quot;$&quot;#,##0"/>
    </dxf>
  </rfmt>
  <rcc rId="44294" sId="2">
    <nc r="AO11">
      <f>'FY 2013 by Agency'!BO41</f>
    </nc>
  </rcc>
  <rcc rId="44295" sId="2">
    <oc r="AN11">
      <f>'FY 2013 by Agency'!BN41</f>
    </oc>
    <nc r="AN11">
      <f>'FY 2013 by Agency'!BN41</f>
    </nc>
  </rcc>
  <rcc rId="44296" sId="2">
    <nc r="AO12">
      <f>'FY 2013 by Agency'!BO74</f>
    </nc>
  </rcc>
  <rcc rId="44297" sId="2">
    <nc r="AO13">
      <f>'FY 2013 by Agency'!BO109</f>
    </nc>
  </rcc>
  <rcc rId="44298" sId="2">
    <nc r="AO14">
      <f>'FY 2013 by Agency'!BO133</f>
    </nc>
  </rcc>
  <rcc rId="44299" sId="2">
    <nc r="AO15">
      <f>'FY 2013 by Agency'!BO166</f>
    </nc>
  </rcc>
  <rcc rId="44300" sId="2">
    <nc r="AO16">
      <f>'FY 2013 by Agency'!BO188</f>
    </nc>
  </rcc>
  <rcc rId="44301" sId="2">
    <nc r="AO17">
      <f>'FY 2013 by Agency'!BO222</f>
    </nc>
  </rcc>
  <rcc rId="44302" sId="2">
    <nc r="AO18">
      <f>'FY 2013 by Agency'!BO242</f>
    </nc>
  </rcc>
  <rfmt sheetId="2" sqref="AO11:AO18" start="0" length="2147483647">
    <dxf>
      <font>
        <b val="0"/>
      </font>
    </dxf>
  </rfmt>
  <rfmt sheetId="2" sqref="AO11:AO18" start="0" length="2147483647">
    <dxf>
      <font>
        <b/>
      </font>
    </dxf>
  </rfmt>
  <rcc rId="44303" sId="3">
    <nc r="AO9" t="inlineStr">
      <is>
        <t>FY 2013 APPROVED</t>
      </is>
    </nc>
  </rcc>
  <rfmt sheetId="3" sqref="AO10" start="0" length="0">
    <dxf>
      <font>
        <b val="0"/>
        <sz val="10"/>
        <color auto="1"/>
        <name val="Arial"/>
        <scheme val="none"/>
      </font>
    </dxf>
  </rfmt>
  <rcc rId="44304" sId="3" odxf="1" dxf="1">
    <nc r="AO11">
      <f>'FY 2013 by Agency'!BO41</f>
    </nc>
    <odxf>
      <font>
        <b val="0"/>
        <sz val="10"/>
        <color auto="1"/>
        <name val="Arial"/>
        <scheme val="none"/>
      </font>
      <numFmt numFmtId="172" formatCode="_(&quot;$&quot;* #,##0_);_(&quot;$&quot;* \(#,##0\);_(&quot;$&quot;* &quot;-&quot;??_);_(@_)"/>
    </odxf>
    <ndxf>
      <font>
        <b/>
        <sz val="10"/>
        <color auto="1"/>
        <name val="Arial"/>
        <scheme val="none"/>
      </font>
      <numFmt numFmtId="165" formatCode="&quot;$&quot;#,##0"/>
    </ndxf>
  </rcc>
  <rcc rId="44305" sId="3" odxf="1" dxf="1">
    <nc r="AO12">
      <f>'FY 2013 by Agency'!BO74</f>
    </nc>
    <odxf>
      <font>
        <b val="0"/>
        <sz val="10"/>
        <color auto="1"/>
        <name val="Arial"/>
        <scheme val="none"/>
      </font>
      <numFmt numFmtId="172" formatCode="_(&quot;$&quot;* #,##0_);_(&quot;$&quot;* \(#,##0\);_(&quot;$&quot;* &quot;-&quot;??_);_(@_)"/>
    </odxf>
    <ndxf>
      <font>
        <b/>
        <sz val="10"/>
        <color auto="1"/>
        <name val="Arial"/>
        <scheme val="none"/>
      </font>
      <numFmt numFmtId="3" formatCode="#,##0"/>
    </ndxf>
  </rcc>
  <rcc rId="44306" sId="3" odxf="1" dxf="1">
    <nc r="AO13">
      <f>'FY 2013 by Agency'!BO109</f>
    </nc>
    <odxf>
      <font>
        <b val="0"/>
        <sz val="10"/>
        <color auto="1"/>
        <name val="Arial"/>
        <scheme val="none"/>
      </font>
      <numFmt numFmtId="172" formatCode="_(&quot;$&quot;* #,##0_);_(&quot;$&quot;* \(#,##0\);_(&quot;$&quot;* &quot;-&quot;??_);_(@_)"/>
    </odxf>
    <ndxf>
      <font>
        <b/>
        <sz val="10"/>
        <color auto="1"/>
        <name val="Arial"/>
        <scheme val="none"/>
      </font>
      <numFmt numFmtId="3" formatCode="#,##0"/>
    </ndxf>
  </rcc>
  <rcc rId="44307" sId="3" odxf="1" dxf="1">
    <nc r="AO14">
      <f>'FY 2013 by Agency'!BO133</f>
    </nc>
    <odxf>
      <font>
        <b val="0"/>
        <sz val="10"/>
        <color auto="1"/>
        <name val="Arial"/>
        <scheme val="none"/>
      </font>
      <numFmt numFmtId="172" formatCode="_(&quot;$&quot;* #,##0_);_(&quot;$&quot;* \(#,##0\);_(&quot;$&quot;* &quot;-&quot;??_);_(@_)"/>
    </odxf>
    <ndxf>
      <font>
        <b/>
        <sz val="10"/>
        <color auto="1"/>
        <name val="Arial"/>
        <scheme val="none"/>
      </font>
      <numFmt numFmtId="3" formatCode="#,##0"/>
    </ndxf>
  </rcc>
  <rcc rId="44308" sId="3" odxf="1" dxf="1">
    <nc r="AO15">
      <f>'FY 2013 by Agency'!BO166</f>
    </nc>
    <odxf>
      <font>
        <b val="0"/>
        <sz val="10"/>
        <color auto="1"/>
        <name val="Arial"/>
        <scheme val="none"/>
      </font>
      <numFmt numFmtId="172" formatCode="_(&quot;$&quot;* #,##0_);_(&quot;$&quot;* \(#,##0\);_(&quot;$&quot;* &quot;-&quot;??_);_(@_)"/>
    </odxf>
    <ndxf>
      <font>
        <b/>
        <sz val="10"/>
        <color auto="1"/>
        <name val="Arial"/>
        <scheme val="none"/>
      </font>
      <numFmt numFmtId="3" formatCode="#,##0"/>
    </ndxf>
  </rcc>
  <rcc rId="44309" sId="3" odxf="1" dxf="1">
    <nc r="AO16">
      <f>'FY 2013 by Agency'!BO188</f>
    </nc>
    <odxf>
      <font>
        <b val="0"/>
        <sz val="10"/>
        <color auto="1"/>
        <name val="Arial"/>
        <scheme val="none"/>
      </font>
      <numFmt numFmtId="172" formatCode="_(&quot;$&quot;* #,##0_);_(&quot;$&quot;* \(#,##0\);_(&quot;$&quot;* &quot;-&quot;??_);_(@_)"/>
    </odxf>
    <ndxf>
      <font>
        <b/>
        <sz val="10"/>
        <color auto="1"/>
        <name val="Arial"/>
        <scheme val="none"/>
      </font>
      <numFmt numFmtId="3" formatCode="#,##0"/>
    </ndxf>
  </rcc>
  <rcc rId="44310" sId="3" odxf="1" dxf="1">
    <nc r="AO17">
      <f>'FY 2013 by Agency'!BO222</f>
    </nc>
    <odxf>
      <font>
        <b val="0"/>
        <sz val="10"/>
        <color auto="1"/>
        <name val="Arial"/>
        <scheme val="none"/>
      </font>
      <numFmt numFmtId="172" formatCode="_(&quot;$&quot;* #,##0_);_(&quot;$&quot;* \(#,##0\);_(&quot;$&quot;* &quot;-&quot;??_);_(@_)"/>
    </odxf>
    <ndxf>
      <font>
        <b/>
        <sz val="10"/>
        <color auto="1"/>
        <name val="Arial"/>
        <scheme val="none"/>
      </font>
      <numFmt numFmtId="3" formatCode="#,##0"/>
    </ndxf>
  </rcc>
  <rcc rId="44311" sId="3" odxf="1" dxf="1">
    <nc r="AO18">
      <f>'FY 2013 by Agency'!BO242</f>
    </nc>
    <odxf>
      <font>
        <b val="0"/>
        <sz val="10"/>
        <color auto="1"/>
        <name val="Arial"/>
        <scheme val="none"/>
      </font>
      <numFmt numFmtId="172" formatCode="_(&quot;$&quot;* #,##0_);_(&quot;$&quot;* \(#,##0\);_(&quot;$&quot;* &quot;-&quot;??_);_(@_)"/>
    </odxf>
    <ndxf>
      <font>
        <b/>
        <sz val="10"/>
        <color auto="1"/>
        <name val="Arial"/>
        <scheme val="none"/>
      </font>
      <numFmt numFmtId="3" formatCode="#,##0"/>
    </ndxf>
  </rcc>
  <rcc rId="44312" sId="3">
    <oc r="AP11">
      <f>AN11-AK11</f>
    </oc>
    <nc r="AP11">
      <f>AO11-AK11</f>
    </nc>
  </rcc>
  <rcc rId="44313" sId="3" odxf="1" dxf="1">
    <oc r="AP12">
      <f>AN12-AK12</f>
    </oc>
    <nc r="AP12">
      <f>AO12-AK12</f>
    </nc>
    <odxf>
      <fill>
        <patternFill patternType="solid">
          <bgColor theme="0" tint="-0.249977111117893"/>
        </patternFill>
      </fill>
    </odxf>
    <ndxf>
      <fill>
        <patternFill patternType="none">
          <bgColor indexed="65"/>
        </patternFill>
      </fill>
    </ndxf>
  </rcc>
  <rcc rId="44314" sId="3">
    <oc r="AP13">
      <f>AN13-AK13</f>
    </oc>
    <nc r="AP13">
      <f>AO13-AK13</f>
    </nc>
  </rcc>
  <rcc rId="44315" sId="3" odxf="1" dxf="1">
    <oc r="AP14">
      <f>AN14-AK14</f>
    </oc>
    <nc r="AP14">
      <f>AO14-AK14</f>
    </nc>
    <odxf>
      <fill>
        <patternFill patternType="solid">
          <bgColor theme="0" tint="-0.249977111117893"/>
        </patternFill>
      </fill>
    </odxf>
    <ndxf>
      <fill>
        <patternFill patternType="none">
          <bgColor indexed="65"/>
        </patternFill>
      </fill>
    </ndxf>
  </rcc>
  <rcc rId="44316" sId="3">
    <oc r="AP15">
      <f>AN15-AK15</f>
    </oc>
    <nc r="AP15">
      <f>AO15-AK15</f>
    </nc>
  </rcc>
  <rcc rId="44317" sId="3" odxf="1" dxf="1">
    <oc r="AP16">
      <f>AN16-AK16</f>
    </oc>
    <nc r="AP16">
      <f>AO16-AK16</f>
    </nc>
    <odxf>
      <fill>
        <patternFill patternType="solid">
          <bgColor theme="0" tint="-0.249977111117893"/>
        </patternFill>
      </fill>
    </odxf>
    <ndxf>
      <fill>
        <patternFill patternType="none">
          <bgColor indexed="65"/>
        </patternFill>
      </fill>
    </ndxf>
  </rcc>
  <rcc rId="44318" sId="3">
    <oc r="AP17">
      <f>AN17-AK17</f>
    </oc>
    <nc r="AP17">
      <f>AO17-AK17</f>
    </nc>
  </rcc>
  <rcc rId="44319" sId="3" odxf="1" dxf="1">
    <oc r="AP18">
      <f>AN18-AK18</f>
    </oc>
    <nc r="AP18">
      <f>AO18-AK18</f>
    </nc>
    <odxf>
      <fill>
        <patternFill patternType="solid">
          <bgColor theme="0" tint="-0.249977111117893"/>
        </patternFill>
      </fill>
    </odxf>
    <ndxf>
      <fill>
        <patternFill patternType="none">
          <bgColor indexed="65"/>
        </patternFill>
      </fill>
    </ndxf>
  </rcc>
  <rcc rId="44320" sId="2">
    <oc r="A8" t="inlineStr">
      <is>
        <t>Fiscal Year 2012 Budget</t>
      </is>
    </oc>
    <nc r="A8" t="inlineStr">
      <is>
        <t>Fiscal Year 2013 Budget</t>
      </is>
    </nc>
  </rcc>
  <rcmt sheetId="4" cell="BO21" guid="{BE919C5C-E229-4C69-8FDF-0A011838E1B1}" author="silverman" newLength="44"/>
  <rcmt sheetId="4" cell="BO34" guid="{3FB44D3E-F6EF-4B09-813A-B0046A19EAD4}" author="silverman" newLength="33"/>
  <rcmt sheetId="5" cell="BY21" guid="{B9B6051D-4033-424A-92DE-C25DC37D71B0}" author="silverman" newLength="44"/>
  <rcmt sheetId="5" cell="BY34" guid="{C9A7C70D-1448-4E49-8C64-1C966AF9397F}" author="silverman" newLength="33"/>
  <rcv guid="{567C3053-2D8E-4705-8DC7-18896C5303CA}" action="delete"/>
  <rdn rId="0" localSheetId="2" customView="1" name="Z_567C3053_2D8E_4705_8DC7_18896C5303CA_.wvu.Cols" hidden="1" oldHidden="1">
    <formula>'FY2013 by Approp Title'!$AA:$AA</formula>
    <oldFormula>'FY2013 by Approp Title'!$AA:$AA</oldFormula>
  </rdn>
  <rdn rId="0" localSheetId="3" customView="1" name="Z_567C3053_2D8E_4705_8DC7_18896C5303CA_.wvu.Cols" hidden="1" oldHidden="1">
    <formula>'FY2013 By Approp Title-Adj'!$AA:$AA</formula>
    <oldFormula>'FY2013 By Approp Title-Adj'!$AA:$AA</oldFormula>
  </rdn>
  <rdn rId="0" localSheetId="4" customView="1" name="Z_567C3053_2D8E_4705_8DC7_18896C5303CA_.wvu.Rows" hidden="1" oldHidden="1">
    <formula>'FY 2013 by Agency'!$1:$3,'FY 2013 by Agency'!$227:$241</formula>
    <oldFormula>'FY 2013 by Agency'!$1:$3,'FY 2013 by Agency'!$227:$241</oldFormula>
  </rdn>
  <rdn rId="0" localSheetId="4" customView="1" name="Z_567C3053_2D8E_4705_8DC7_18896C5303CA_.wvu.Cols" hidden="1" oldHidden="1">
    <formula>'FY 2013 by Agency'!$BQ:$BQ</formula>
    <oldFormula>'FY 2013 by Agency'!$BQ:$BQ</oldFormula>
  </rdn>
  <rdn rId="0" localSheetId="5" customView="1" name="Z_567C3053_2D8E_4705_8DC7_18896C5303CA_.wvu.Rows" hidden="1" oldHidden="1">
    <formula>'FY 2013 by Agency-Adj'!$1:$3,'FY 2013 by Agency-Adj'!$228:$242</formula>
    <oldFormula>'FY 2013 by Agency-Adj'!$1:$3,'FY 2013 by Agency-Adj'!$228:$242</oldFormula>
  </rdn>
  <rdn rId="0" localSheetId="5" customView="1" name="Z_567C3053_2D8E_4705_8DC7_18896C5303CA_.wvu.Cols" hidden="1" oldHidden="1">
    <formula>'FY 2013 by Agency-Adj'!$AJ:$AM,'FY 2013 by Agency-Adj'!$AP:$AS,'FY 2013 by Agency-Adj'!$BX:$BX</formula>
    <oldFormula>'FY 2013 by Agency-Adj'!$AJ:$AM,'FY 2013 by Agency-Adj'!$AP:$AS,'FY 2013 by Agency-Adj'!$BX:$BX</oldFormula>
  </rdn>
  <rdn rId="0" localSheetId="8" customView="1" name="Z_567C3053_2D8E_4705_8DC7_18896C5303CA_.wvu.Rows" hidden="1" oldHidden="1">
    <formula>'Sheet 4'!$1:$6</formula>
    <oldFormula>'Sheet 4'!$1:$6</oldFormula>
  </rdn>
  <rcv guid="{567C3053-2D8E-4705-8DC7-18896C5303CA}" action="add"/>
</revisions>
</file>

<file path=xl/revisions/revisionLog12.xml><?xml version="1.0" encoding="utf-8"?>
<revisions xmlns="http://schemas.openxmlformats.org/spreadsheetml/2006/main" xmlns:r="http://schemas.openxmlformats.org/officeDocument/2006/relationships">
  <rcv guid="{567C3053-2D8E-4705-8DC7-18896C5303CA}" action="delete"/>
  <rdn rId="0" localSheetId="2" customView="1" name="Z_567C3053_2D8E_4705_8DC7_18896C5303CA_.wvu.Cols" hidden="1" oldHidden="1">
    <formula>'FY2013 by Approp Title'!$AA:$AA</formula>
    <oldFormula>'FY2013 by Approp Title'!$AA:$AA</oldFormula>
  </rdn>
  <rdn rId="0" localSheetId="3" customView="1" name="Z_567C3053_2D8E_4705_8DC7_18896C5303CA_.wvu.Cols" hidden="1" oldHidden="1">
    <formula>'FY2013 By Approp Title-Adj'!$AA:$AA</formula>
    <oldFormula>'FY2013 By Approp Title-Adj'!$AA:$AA</oldFormula>
  </rdn>
  <rdn rId="0" localSheetId="4" customView="1" name="Z_567C3053_2D8E_4705_8DC7_18896C5303CA_.wvu.Rows" hidden="1" oldHidden="1">
    <formula>'FY 2013 by Agency'!$1:$3,'FY 2013 by Agency'!$227:$241</formula>
    <oldFormula>'FY 2013 by Agency'!$1:$3,'FY 2013 by Agency'!$227:$241</oldFormula>
  </rdn>
  <rdn rId="0" localSheetId="4" customView="1" name="Z_567C3053_2D8E_4705_8DC7_18896C5303CA_.wvu.Cols" hidden="1" oldHidden="1">
    <formula>'FY 2013 by Agency'!$BQ:$BQ</formula>
    <oldFormula>'FY 2013 by Agency'!$BQ:$BQ</oldFormula>
  </rdn>
  <rdn rId="0" localSheetId="5" customView="1" name="Z_567C3053_2D8E_4705_8DC7_18896C5303CA_.wvu.Rows" hidden="1" oldHidden="1">
    <formula>'FY 2013 by Agency-Adj'!$1:$3,'FY 2013 by Agency-Adj'!$228:$242</formula>
    <oldFormula>'FY 2013 by Agency-Adj'!$1:$3,'FY 2013 by Agency-Adj'!$228:$242</oldFormula>
  </rdn>
  <rdn rId="0" localSheetId="5" customView="1" name="Z_567C3053_2D8E_4705_8DC7_18896C5303CA_.wvu.Cols" hidden="1" oldHidden="1">
    <formula>'FY 2013 by Agency-Adj'!$AJ:$AM,'FY 2013 by Agency-Adj'!$AP:$AS,'FY 2013 by Agency-Adj'!$BX:$BX</formula>
    <oldFormula>'FY 2013 by Agency-Adj'!$AJ:$AM,'FY 2013 by Agency-Adj'!$AP:$AS,'FY 2013 by Agency-Adj'!$BX:$BX</oldFormula>
  </rdn>
  <rdn rId="0" localSheetId="8" customView="1" name="Z_567C3053_2D8E_4705_8DC7_18896C5303CA_.wvu.Rows" hidden="1" oldHidden="1">
    <formula>'Sheet 4'!$1:$6</formula>
    <oldFormula>'Sheet 4'!$1:$6</oldFormula>
  </rdn>
  <rcv guid="{567C3053-2D8E-4705-8DC7-18896C5303CA}" action="add"/>
</revisions>
</file>

<file path=xl/revisions/revisionLog121.xml><?xml version="1.0" encoding="utf-8"?>
<revisions xmlns="http://schemas.openxmlformats.org/spreadsheetml/2006/main" xmlns:r="http://schemas.openxmlformats.org/officeDocument/2006/relationships">
  <rcc rId="44328" sId="10" odxf="1" dxf="1">
    <nc r="A11" t="inlineStr">
      <is>
        <t>How this is treated in spreadsheet</t>
      </is>
    </nc>
    <odxf>
      <font>
        <b val="0"/>
        <sz val="10"/>
        <color auto="1"/>
        <name val="Arial"/>
        <scheme val="none"/>
      </font>
    </odxf>
    <ndxf>
      <font>
        <b/>
        <sz val="11"/>
        <color auto="1"/>
        <name val="Calibri"/>
        <scheme val="none"/>
      </font>
    </ndxf>
  </rcc>
  <rfmt sheetId="10" sqref="B11" start="0" length="0">
    <dxf/>
  </rfmt>
  <rfmt sheetId="10" sqref="C11" start="0" length="0">
    <dxf/>
  </rfmt>
  <rcc rId="44329" sId="10" odxf="1" dxf="1">
    <nc r="A12" t="inlineStr">
      <is>
        <r>
          <t>·</t>
        </r>
        <r>
          <rPr>
            <sz val="7"/>
            <rFont val="Times New Roman"/>
            <family val="1"/>
          </rPr>
          <t xml:space="preserve">     </t>
        </r>
        <r>
          <rPr>
            <sz val="11"/>
            <rFont val="Calibri"/>
            <family val="2"/>
          </rPr>
          <t>for 2012-2013 and 2008-2013 comparisons for MPD and DOH.  analysts should add back 2,576,000 to MPD and 920,000 to DOH in 2013.  These adjustments ARE NOT in the spreasheet We also could make the adjustments to appropriations titles  totals, with a new line “adjusted for shifts”</t>
        </r>
      </is>
    </nc>
    <odxf>
      <font>
        <sz val="10"/>
        <color auto="1"/>
        <name val="Arial"/>
        <scheme val="none"/>
      </font>
      <alignment horizontal="general" vertical="bottom" indent="0" relativeIndent="0" readingOrder="0"/>
    </odxf>
    <ndxf>
      <font>
        <sz val="8"/>
        <color auto="1"/>
        <name val="Symbol"/>
        <scheme val="none"/>
      </font>
      <alignment horizontal="left" vertical="top" indent="2" relativeIndent="0" readingOrder="0"/>
    </ndxf>
  </rcc>
  <rfmt sheetId="10" sqref="B12" start="0" length="0">
    <dxf/>
  </rfmt>
  <rfmt sheetId="10" sqref="C12" start="0" length="0">
    <dxf/>
  </rfmt>
  <rcc rId="44330" sId="10" odxf="1" dxf="1">
    <oc r="A13" t="inlineStr">
      <is>
        <t>ACCESS TO JUSTICE</t>
      </is>
    </oc>
    <nc r="A13" t="inlineStr">
      <is>
        <r>
          <t>·</t>
        </r>
        <r>
          <rPr>
            <sz val="7"/>
            <rFont val="Times New Roman"/>
            <family val="1"/>
          </rPr>
          <t xml:space="preserve">     </t>
        </r>
        <r>
          <rPr>
            <sz val="11"/>
            <rFont val="Calibri"/>
            <family val="2"/>
          </rPr>
          <t>For 2012-2013 and 2008-2013 comparisons: a line has been added under the Approps titles for Pub Safety and Human Sevices to reflect this:  920,000 added to HS and subtracted from PSJ</t>
        </r>
      </is>
    </nc>
    <odxf>
      <font>
        <b/>
      </font>
      <alignment horizontal="general" vertical="bottom" indent="0" relativeIndent="0" readingOrder="0"/>
    </odxf>
    <ndxf>
      <font>
        <b val="0"/>
        <sz val="8"/>
        <name val="Symbol"/>
        <scheme val="none"/>
      </font>
      <alignment horizontal="left" vertical="top" indent="2" relativeIndent="0" readingOrder="0"/>
    </ndxf>
  </rcc>
  <rcv guid="{AEFEB150-9213-45F5-A178-7AC71E46DB11}" action="delete"/>
  <rdn rId="0" localSheetId="2" customView="1" name="Z_AEFEB150_9213_45F5_A178_7AC71E46DB11_.wvu.Cols" hidden="1" oldHidden="1">
    <formula>'FY2013 by Approp Title'!$AA:$AA</formula>
    <oldFormula>'FY2013 by Approp Title'!$AA:$AA</oldFormula>
  </rdn>
  <rdn rId="0" localSheetId="3" customView="1" name="Z_AEFEB150_9213_45F5_A178_7AC71E46DB11_.wvu.Cols" hidden="1" oldHidden="1">
    <formula>'FY2013 By Approp Title-Adj'!$AA:$AA</formula>
    <oldFormula>'FY2013 By Approp Title-Adj'!$AA:$AA</oldFormula>
  </rdn>
  <rdn rId="0" localSheetId="4" customView="1" name="Z_AEFEB150_9213_45F5_A178_7AC71E46DB11_.wvu.Rows" hidden="1" oldHidden="1">
    <formula>'FY 2013 by Agency'!$1:$3,'FY 2013 by Agency'!$227:$241</formula>
    <oldFormula>'FY 2013 by Agency'!$1:$3,'FY 2013 by Agency'!$227:$241</oldFormula>
  </rdn>
  <rdn rId="0" localSheetId="5" customView="1" name="Z_AEFEB150_9213_45F5_A178_7AC71E46DB11_.wvu.Rows" hidden="1" oldHidden="1">
    <formula>'FY 2013 by Agency-Adj'!$1:$3,'FY 2013 by Agency-Adj'!$228:$242</formula>
    <oldFormula>'FY 2013 by Agency-Adj'!$1:$3,'FY 2013 by Agency-Adj'!$228:$242</oldFormula>
  </rdn>
  <rdn rId="0" localSheetId="5" customView="1" name="Z_AEFEB150_9213_45F5_A178_7AC71E46DB11_.wvu.Cols" hidden="1" oldHidden="1">
    <formula>'FY 2013 by Agency-Adj'!$AJ:$AM</formula>
    <oldFormula>'FY 2013 by Agency-Adj'!$AJ:$AM</oldFormula>
  </rdn>
  <rdn rId="0" localSheetId="8" customView="1" name="Z_AEFEB150_9213_45F5_A178_7AC71E46DB11_.wvu.Rows" hidden="1" oldHidden="1">
    <formula>'Sheet 4'!$1:$6</formula>
    <oldFormula>'Sheet 4'!$1:$6</oldFormula>
  </rdn>
  <rcv guid="{AEFEB150-9213-45F5-A178-7AC71E46DB11}"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Y5" start="0" length="0">
    <dxf>
      <border>
        <left style="medium">
          <color indexed="64"/>
        </left>
        <right style="medium">
          <color indexed="64"/>
        </right>
        <top style="medium">
          <color indexed="64"/>
        </top>
        <bottom style="thin">
          <color indexed="64"/>
        </bottom>
      </border>
    </dxf>
  </rfmt>
  <rfmt sheetId="4" sqref="Y5" start="0" length="0">
    <dxf>
      <border>
        <left style="medium">
          <color indexed="64"/>
        </left>
        <right style="medium">
          <color indexed="64"/>
        </right>
        <top style="medium">
          <color indexed="64"/>
        </top>
        <bottom style="medium">
          <color indexed="64"/>
        </bottom>
      </border>
    </dxf>
  </rfmt>
  <rfmt sheetId="4" sqref="Z5" start="0" length="0">
    <dxf>
      <border>
        <left style="medium">
          <color indexed="64"/>
        </left>
        <right style="medium">
          <color indexed="64"/>
        </right>
        <top style="medium">
          <color indexed="64"/>
        </top>
        <bottom style="medium">
          <color indexed="64"/>
        </bottom>
      </border>
    </dxf>
  </rfmt>
  <rfmt sheetId="4" sqref="BR4" start="0" length="0">
    <dxf>
      <border>
        <left/>
        <right/>
        <top/>
        <bottom style="medium">
          <color indexed="64"/>
        </bottom>
      </border>
    </dxf>
  </rfmt>
  <rfmt sheetId="4" sqref="BR5" start="0" length="0">
    <dxf>
      <border>
        <left/>
        <right/>
        <top style="medium">
          <color indexed="64"/>
        </top>
        <bottom style="medium">
          <color indexed="64"/>
        </bottom>
      </border>
    </dxf>
  </rfmt>
  <rfmt sheetId="4" sqref="BR5" start="0" length="0">
    <dxf>
      <border>
        <left style="thin">
          <color indexed="64"/>
        </left>
        <right/>
        <top style="medium">
          <color indexed="64"/>
        </top>
        <bottom style="medium">
          <color indexed="64"/>
        </bottom>
      </border>
    </dxf>
  </rfmt>
  <rfmt sheetId="4" sqref="A4" start="0" length="0">
    <dxf>
      <border>
        <left/>
        <right/>
        <top/>
        <bottom/>
      </border>
    </dxf>
  </rfmt>
  <rfmt sheetId="4" sqref="BR5" start="0" length="0">
    <dxf>
      <border>
        <left style="medium">
          <color indexed="64"/>
        </left>
        <right style="medium">
          <color indexed="64"/>
        </right>
        <top style="medium">
          <color indexed="64"/>
        </top>
        <bottom style="medium">
          <color indexed="64"/>
        </bottom>
      </border>
    </dxf>
  </rfmt>
  <rfmt sheetId="4" sqref="BN4" start="0" length="0">
    <dxf>
      <border>
        <left/>
        <right style="medium">
          <color indexed="64"/>
        </right>
        <top/>
        <bottom style="medium">
          <color indexed="64"/>
        </bottom>
      </border>
    </dxf>
  </rfmt>
  <rfmt sheetId="4" sqref="BN4" start="0" length="0">
    <dxf>
      <border>
        <left style="medium">
          <color indexed="64"/>
        </left>
        <right style="medium">
          <color indexed="64"/>
        </right>
        <top/>
        <bottom style="medium">
          <color indexed="64"/>
        </bottom>
      </border>
    </dxf>
  </rfmt>
  <rfmt sheetId="4" sqref="BP4" start="0" length="0">
    <dxf>
      <border>
        <left style="medium">
          <color indexed="64"/>
        </left>
        <right/>
        <top/>
        <bottom style="medium">
          <color indexed="64"/>
        </bottom>
      </border>
    </dxf>
  </rfmt>
  <rfmt sheetId="4" sqref="BP5" start="0" length="0">
    <dxf>
      <border>
        <left style="medium">
          <color indexed="64"/>
        </left>
        <right/>
        <top style="medium">
          <color indexed="64"/>
        </top>
        <bottom style="medium">
          <color indexed="64"/>
        </bottom>
      </border>
    </dxf>
  </rfmt>
  <rfmt sheetId="4" sqref="BR4" start="0" length="0">
    <dxf>
      <border>
        <left/>
        <right style="medium">
          <color indexed="64"/>
        </right>
        <top/>
        <bottom style="medium">
          <color indexed="64"/>
        </bottom>
      </border>
    </dxf>
  </rfmt>
  <rfmt sheetId="4" sqref="AI4:AI5" start="0" length="0">
    <dxf>
      <border>
        <right style="medium">
          <color indexed="64"/>
        </right>
      </border>
    </dxf>
  </rfmt>
  <rfmt sheetId="4" sqref="AI5" start="0" length="0">
    <dxf>
      <border>
        <left style="medium">
          <color indexed="64"/>
        </left>
        <right style="medium">
          <color indexed="64"/>
        </right>
        <top/>
        <bottom style="medium">
          <color indexed="64"/>
        </bottom>
      </border>
    </dxf>
  </rfmt>
  <rfmt sheetId="4" sqref="AI4" start="0" length="0">
    <dxf>
      <border>
        <left style="medium">
          <color indexed="64"/>
        </left>
        <right style="medium">
          <color indexed="64"/>
        </right>
        <top/>
        <bottom style="medium">
          <color indexed="64"/>
        </bottom>
      </border>
    </dxf>
  </rfmt>
  <rfmt sheetId="4" sqref="AI4" start="0" length="2147483647">
    <dxf>
      <font>
        <b/>
      </font>
    </dxf>
  </rfmt>
  <rfmt sheetId="4" sqref="AI5" start="0" length="2147483647">
    <dxf>
      <font>
        <b/>
      </font>
    </dxf>
  </rfmt>
  <rfmt sheetId="4" sqref="AJ4" start="0" length="2147483647">
    <dxf>
      <font>
        <b/>
      </font>
    </dxf>
  </rfmt>
  <rfmt sheetId="4" sqref="AJ5" start="0" length="2147483647">
    <dxf>
      <font>
        <b/>
      </font>
    </dxf>
  </rfmt>
  <rfmt sheetId="4" sqref="AJ5" start="0" length="0">
    <dxf>
      <border>
        <left style="medium">
          <color indexed="64"/>
        </left>
        <right/>
        <top/>
        <bottom style="medium">
          <color indexed="64"/>
        </bottom>
      </border>
    </dxf>
  </rfmt>
  <rfmt sheetId="4" sqref="AJ4" start="0" length="0">
    <dxf>
      <border>
        <left style="medium">
          <color indexed="64"/>
        </left>
        <right/>
        <top/>
        <bottom style="medium">
          <color indexed="64"/>
        </bottom>
      </border>
    </dxf>
  </rfmt>
  <rfmt sheetId="4" sqref="AK4" start="0" length="2147483647">
    <dxf>
      <font>
        <b/>
      </font>
    </dxf>
  </rfmt>
  <rfmt sheetId="4" sqref="AK4" start="0" length="0">
    <dxf>
      <border>
        <left/>
        <right/>
        <top/>
        <bottom style="medium">
          <color indexed="64"/>
        </bottom>
      </border>
    </dxf>
  </rfmt>
  <rfmt sheetId="4" sqref="AK4" start="0" length="0">
    <dxf>
      <border>
        <left style="medium">
          <color indexed="64"/>
        </left>
        <right style="medium">
          <color indexed="64"/>
        </right>
        <top/>
        <bottom style="medium">
          <color indexed="64"/>
        </bottom>
      </border>
    </dxf>
  </rfmt>
  <rfmt sheetId="4" sqref="AK5" start="0" length="2147483647">
    <dxf>
      <font>
        <b/>
      </font>
    </dxf>
  </rfmt>
  <rfmt sheetId="4" sqref="AK5" start="0" length="0">
    <dxf>
      <border>
        <left/>
        <right/>
        <top style="medium">
          <color indexed="64"/>
        </top>
        <bottom style="medium">
          <color indexed="64"/>
        </bottom>
      </border>
    </dxf>
  </rfmt>
  <rfmt sheetId="4" sqref="AL5" start="0" length="2147483647">
    <dxf>
      <font>
        <b/>
      </font>
    </dxf>
  </rfmt>
  <rfmt sheetId="4" sqref="AL4:AO4" start="0" length="2147483647">
    <dxf>
      <font>
        <b/>
      </font>
    </dxf>
  </rfmt>
  <rfmt sheetId="4" sqref="AM5:AO5" start="0" length="2147483647">
    <dxf>
      <font>
        <b/>
      </font>
    </dxf>
  </rfmt>
  <rfmt sheetId="4" sqref="AL5:AO5" start="0" length="0">
    <dxf>
      <border>
        <bottom style="medium">
          <color indexed="64"/>
        </bottom>
      </border>
    </dxf>
  </rfmt>
  <rfmt sheetId="4" sqref="AL4:AO4" start="0" length="0">
    <dxf>
      <border>
        <bottom style="medium">
          <color indexed="64"/>
        </bottom>
      </border>
    </dxf>
  </rfmt>
  <rfmt sheetId="4" sqref="AL5" start="0" length="0">
    <dxf>
      <border>
        <left style="medium">
          <color indexed="64"/>
        </left>
      </border>
    </dxf>
  </rfmt>
  <rfmt sheetId="4" sqref="AM5" start="0" length="0">
    <dxf>
      <border>
        <left style="medium">
          <color indexed="64"/>
        </left>
        <right/>
        <top style="medium">
          <color indexed="64"/>
        </top>
        <bottom style="medium">
          <color indexed="64"/>
        </bottom>
      </border>
    </dxf>
  </rfmt>
  <rfmt sheetId="4" sqref="AO5" start="0" length="0">
    <dxf>
      <border>
        <left style="medium">
          <color indexed="64"/>
        </left>
        <right style="medium">
          <color indexed="64"/>
        </right>
        <top style="medium">
          <color indexed="64"/>
        </top>
        <bottom style="medium">
          <color indexed="64"/>
        </bottom>
      </border>
    </dxf>
  </rfmt>
  <rfmt sheetId="4" sqref="AK5" start="0" length="0">
    <dxf>
      <border>
        <left style="medium">
          <color indexed="64"/>
        </left>
        <right style="medium">
          <color indexed="64"/>
        </right>
        <top style="medium">
          <color indexed="64"/>
        </top>
        <bottom style="medium">
          <color indexed="64"/>
        </bottom>
      </border>
    </dxf>
  </rfmt>
  <rfmt sheetId="4" sqref="AV5:AW5" start="0" length="2147483647">
    <dxf>
      <font>
        <b/>
      </font>
    </dxf>
  </rfmt>
  <rfmt sheetId="4" sqref="AV5:AW5" start="0" length="0">
    <dxf>
      <border>
        <bottom style="medium">
          <color indexed="64"/>
        </bottom>
      </border>
    </dxf>
  </rfmt>
  <rfmt sheetId="5" sqref="AD4:AE4" start="0" length="2147483647">
    <dxf>
      <font>
        <b/>
      </font>
    </dxf>
  </rfmt>
  <rfmt sheetId="5" sqref="AD4:AE4" start="0" length="0">
    <dxf>
      <border>
        <bottom style="medium">
          <color indexed="64"/>
        </bottom>
      </border>
    </dxf>
  </rfmt>
  <rfmt sheetId="5" sqref="AD5:AE5" start="0" length="2147483647">
    <dxf>
      <font>
        <b/>
      </font>
    </dxf>
  </rfmt>
  <rfmt sheetId="5" sqref="AD5:AE5" start="0" length="0">
    <dxf>
      <border>
        <bottom style="medium">
          <color indexed="64"/>
        </bottom>
      </border>
    </dxf>
  </rfmt>
  <rfmt sheetId="5" sqref="AF5" start="0" length="0">
    <dxf>
      <border>
        <left style="medium">
          <color indexed="64"/>
        </left>
        <right style="medium">
          <color indexed="64"/>
        </right>
        <top/>
        <bottom style="medium">
          <color indexed="64"/>
        </bottom>
      </border>
    </dxf>
  </rfmt>
  <rfmt sheetId="5" sqref="AI4:AO4" start="0" length="2147483647">
    <dxf>
      <font>
        <b/>
      </font>
    </dxf>
  </rfmt>
  <rfmt sheetId="5" sqref="AI4:AO4" start="0" length="0">
    <dxf>
      <border>
        <bottom style="medium">
          <color indexed="64"/>
        </bottom>
      </border>
    </dxf>
  </rfmt>
  <rfmt sheetId="5" sqref="AI5:AO5" start="0" length="0">
    <dxf>
      <border>
        <bottom style="medium">
          <color indexed="64"/>
        </bottom>
      </border>
    </dxf>
  </rfmt>
  <rfmt sheetId="5" sqref="AO5" start="0" length="0">
    <dxf>
      <border>
        <right style="medium">
          <color indexed="64"/>
        </right>
      </border>
    </dxf>
  </rfmt>
  <rfmt sheetId="5" sqref="AN5" start="0" length="0">
    <dxf>
      <border>
        <left style="medium">
          <color indexed="64"/>
        </left>
        <right style="medium">
          <color indexed="64"/>
        </right>
        <top style="medium">
          <color indexed="64"/>
        </top>
        <bottom style="medium">
          <color indexed="64"/>
        </bottom>
      </border>
    </dxf>
  </rfmt>
  <rfmt sheetId="5" sqref="AI5:AO5" start="0" length="2147483647">
    <dxf>
      <font>
        <b/>
      </font>
    </dxf>
  </rfmt>
  <rfmt sheetId="5" sqref="AT5:AW5" start="0" length="2147483647">
    <dxf>
      <font>
        <b/>
      </font>
    </dxf>
  </rfmt>
  <rfmt sheetId="5" sqref="AY5:BF5" start="0" length="2147483647">
    <dxf>
      <font>
        <b/>
      </font>
    </dxf>
  </rfmt>
  <rfmt sheetId="5" sqref="AY5" start="0" length="0">
    <dxf>
      <border>
        <left style="medium">
          <color auto="1"/>
        </left>
      </border>
    </dxf>
  </rfmt>
  <rfmt sheetId="5" sqref="BF5" start="0" length="0">
    <dxf>
      <border>
        <right style="medium">
          <color auto="1"/>
        </right>
      </border>
    </dxf>
  </rfmt>
  <rfmt sheetId="5" sqref="AY5:BF5" start="0" length="0">
    <dxf>
      <border>
        <bottom style="medium">
          <color auto="1"/>
        </bottom>
      </border>
    </dxf>
  </rfmt>
  <rfmt sheetId="5" sqref="AY5:BF5">
    <dxf>
      <border>
        <left style="medium">
          <color auto="1"/>
        </left>
        <right style="medium">
          <color auto="1"/>
        </right>
        <vertical style="medium">
          <color auto="1"/>
        </vertical>
      </border>
    </dxf>
  </rfmt>
  <rfmt sheetId="5" sqref="AY5:BF5" start="0" length="0">
    <dxf>
      <border>
        <top style="medium">
          <color indexed="64"/>
        </top>
      </border>
    </dxf>
  </rfmt>
  <rfmt sheetId="5" sqref="BK4" start="0" length="2147483647">
    <dxf>
      <font>
        <b/>
      </font>
    </dxf>
  </rfmt>
  <rfmt sheetId="5" sqref="BI5:BK5" start="0" length="2147483647">
    <dxf>
      <font>
        <b/>
      </font>
    </dxf>
  </rfmt>
  <rfmt sheetId="5" sqref="BI5" start="0" length="0">
    <dxf>
      <border>
        <left style="medium">
          <color indexed="64"/>
        </left>
      </border>
    </dxf>
  </rfmt>
  <rfmt sheetId="5" sqref="BI5:BK5" start="0" length="0">
    <dxf>
      <border>
        <top style="medium">
          <color indexed="64"/>
        </top>
      </border>
    </dxf>
  </rfmt>
  <rfmt sheetId="5" sqref="BI5:BK5" start="0" length="0">
    <dxf>
      <border>
        <bottom style="medium">
          <color indexed="64"/>
        </bottom>
      </border>
    </dxf>
  </rfmt>
  <rfmt sheetId="5" sqref="BI5:BK5">
    <dxf>
      <border>
        <left style="medium">
          <color indexed="64"/>
        </left>
        <right style="medium">
          <color indexed="64"/>
        </right>
        <vertical style="medium">
          <color indexed="64"/>
        </vertical>
      </border>
    </dxf>
  </rfmt>
  <rfmt sheetId="2" sqref="AP9">
    <dxf>
      <alignment vertical="center" readingOrder="0"/>
    </dxf>
  </rfmt>
  <rcc rId="44344" sId="2">
    <oc r="AP9" t="inlineStr">
      <is>
        <t xml:space="preserve">Change FY '12 - '13A 
</t>
      </is>
    </oc>
    <nc r="AP9" t="inlineStr">
      <is>
        <t xml:space="preserve">Change FY '12 - '13A </t>
      </is>
    </nc>
  </rcc>
  <rfmt sheetId="2" sqref="AO11:AQ11" start="0" length="0">
    <dxf>
      <border>
        <top style="medium">
          <color indexed="64"/>
        </top>
      </border>
    </dxf>
  </rfmt>
  <rfmt sheetId="2" sqref="AQ11:AQ18" start="0" length="0">
    <dxf>
      <border>
        <right style="medium">
          <color indexed="64"/>
        </right>
      </border>
    </dxf>
  </rfmt>
  <rfmt sheetId="2" sqref="AO18:AQ18" start="0" length="0">
    <dxf>
      <border>
        <bottom style="medium">
          <color indexed="64"/>
        </bottom>
      </border>
    </dxf>
  </rfmt>
  <rfmt sheetId="2" sqref="AO11:AQ18">
    <dxf>
      <border>
        <top style="medium">
          <color indexed="64"/>
        </top>
        <bottom style="medium">
          <color indexed="64"/>
        </bottom>
        <horizontal style="medium">
          <color indexed="64"/>
        </horizontal>
      </border>
    </dxf>
  </rfmt>
  <rfmt sheetId="2" sqref="AP11:AP18" start="0" length="0">
    <dxf>
      <border>
        <left style="medium">
          <color indexed="64"/>
        </left>
      </border>
    </dxf>
  </rfmt>
  <rfmt sheetId="2" sqref="AP11:AP18" start="0" length="0">
    <dxf>
      <border>
        <right style="medium">
          <color indexed="64"/>
        </right>
      </border>
    </dxf>
  </rfmt>
  <rfmt sheetId="3" sqref="AO10" start="0" length="0">
    <dxf>
      <border>
        <left style="medium">
          <color indexed="64"/>
        </left>
        <right style="medium">
          <color indexed="64"/>
        </right>
        <top/>
        <bottom style="medium">
          <color indexed="64"/>
        </bottom>
      </border>
    </dxf>
  </rfmt>
  <rfmt sheetId="3" sqref="AP10" start="0" length="0">
    <dxf>
      <border>
        <left style="medium">
          <color indexed="64"/>
        </left>
        <right style="medium">
          <color indexed="64"/>
        </right>
        <top style="medium">
          <color indexed="64"/>
        </top>
        <bottom style="medium">
          <color indexed="64"/>
        </bottom>
      </border>
    </dxf>
  </rfmt>
  <rfmt sheetId="3" sqref="AQ11:AQ18" start="0" length="0">
    <dxf>
      <border>
        <right style="medium">
          <color indexed="64"/>
        </right>
      </border>
    </dxf>
  </rfmt>
  <rfmt sheetId="3" sqref="AN18:AQ18" start="0" length="0">
    <dxf>
      <border>
        <bottom style="medium">
          <color indexed="64"/>
        </bottom>
      </border>
    </dxf>
  </rfmt>
  <rfmt sheetId="3" sqref="AN11:AQ18">
    <dxf>
      <border>
        <left style="medium">
          <color indexed="64"/>
        </left>
        <right style="medium">
          <color indexed="64"/>
        </right>
        <top style="medium">
          <color indexed="64"/>
        </top>
        <bottom style="medium">
          <color indexed="64"/>
        </bottom>
        <vertical style="medium">
          <color indexed="64"/>
        </vertical>
        <horizontal style="medium">
          <color indexed="64"/>
        </horizontal>
      </border>
    </dxf>
  </rfmt>
  <rfmt sheetId="3" sqref="AP12">
    <dxf>
      <fill>
        <patternFill patternType="solid">
          <bgColor theme="0" tint="-0.24994659260841701"/>
        </patternFill>
      </fill>
    </dxf>
  </rfmt>
  <rfmt sheetId="3" sqref="AP14 AP16 AP18">
    <dxf>
      <fill>
        <patternFill patternType="solid">
          <bgColor theme="0" tint="-0.24994659260841701"/>
        </patternFill>
      </fill>
    </dxf>
  </rfmt>
  <rfmt sheetId="2" sqref="AP12:AQ12 AP14 AQ14 AP16 AQ16 AP18 AQ18">
    <dxf>
      <fill>
        <patternFill patternType="solid">
          <bgColor theme="0" tint="-0.24994659260841701"/>
        </patternFill>
      </fill>
    </dxf>
  </rfmt>
  <rdn rId="0" localSheetId="2" customView="1" name="Z_7A9890A5_7CC2_466F_AA52_39E8D428DC1C_.wvu.Cols" hidden="1" oldHidden="1">
    <formula>'FY2013 by Approp Title'!$AA:$AA</formula>
  </rdn>
  <rdn rId="0" localSheetId="3" customView="1" name="Z_7A9890A5_7CC2_466F_AA52_39E8D428DC1C_.wvu.Cols" hidden="1" oldHidden="1">
    <formula>'FY2013 By Approp Title-Adj'!$AA:$AA</formula>
  </rdn>
  <rdn rId="0" localSheetId="4" customView="1" name="Z_7A9890A5_7CC2_466F_AA52_39E8D428DC1C_.wvu.Rows" hidden="1" oldHidden="1">
    <formula>'FY 2013 by Agency'!$1:$3,'FY 2013 by Agency'!$227:$241</formula>
  </rdn>
  <rdn rId="0" localSheetId="4" customView="1" name="Z_7A9890A5_7CC2_466F_AA52_39E8D428DC1C_.wvu.Cols" hidden="1" oldHidden="1">
    <formula>'FY 2013 by Agency'!$BQ:$BQ</formula>
  </rdn>
  <rdn rId="0" localSheetId="5" customView="1" name="Z_7A9890A5_7CC2_466F_AA52_39E8D428DC1C_.wvu.Rows" hidden="1" oldHidden="1">
    <formula>'FY 2013 by Agency-Adj'!$1:$3,'FY 2013 by Agency-Adj'!$228:$242</formula>
  </rdn>
  <rdn rId="0" localSheetId="5" customView="1" name="Z_7A9890A5_7CC2_466F_AA52_39E8D428DC1C_.wvu.Cols" hidden="1" oldHidden="1">
    <formula>'FY 2013 by Agency-Adj'!$AJ:$AM,'FY 2013 by Agency-Adj'!$AP:$AS,'FY 2013 by Agency-Adj'!$BX:$BX</formula>
  </rdn>
  <rdn rId="0" localSheetId="8" customView="1" name="Z_7A9890A5_7CC2_466F_AA52_39E8D428DC1C_.wvu.Rows" hidden="1" oldHidden="1">
    <formula>'Sheet 4'!$1:$6</formula>
  </rdn>
  <rcv guid="{7A9890A5-7CC2-466F-AA52-39E8D428DC1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A9890A5-7CC2-466F-AA52-39E8D428DC1C}" action="delete"/>
  <rdn rId="0" localSheetId="2" customView="1" name="Z_7A9890A5_7CC2_466F_AA52_39E8D428DC1C_.wvu.Cols" hidden="1" oldHidden="1">
    <formula>'FY2013 by Approp Title'!$AA:$AA</formula>
    <oldFormula>'FY2013 by Approp Title'!$AA:$AA</oldFormula>
  </rdn>
  <rdn rId="0" localSheetId="3" customView="1" name="Z_7A9890A5_7CC2_466F_AA52_39E8D428DC1C_.wvu.Cols" hidden="1" oldHidden="1">
    <formula>'FY2013 By Approp Title-Adj'!$AA:$AA</formula>
    <oldFormula>'FY2013 By Approp Title-Adj'!$AA:$AA</oldFormula>
  </rdn>
  <rdn rId="0" localSheetId="4" customView="1" name="Z_7A9890A5_7CC2_466F_AA52_39E8D428DC1C_.wvu.Rows" hidden="1" oldHidden="1">
    <formula>'FY 2013 by Agency'!$1:$3,'FY 2013 by Agency'!$227:$241</formula>
    <oldFormula>'FY 2013 by Agency'!$1:$3,'FY 2013 by Agency'!$227:$241</oldFormula>
  </rdn>
  <rdn rId="0" localSheetId="4" customView="1" name="Z_7A9890A5_7CC2_466F_AA52_39E8D428DC1C_.wvu.Cols" hidden="1" oldHidden="1">
    <formula>'FY 2013 by Agency'!$BQ:$BQ</formula>
    <oldFormula>'FY 2013 by Agency'!$BQ:$BQ</oldFormula>
  </rdn>
  <rdn rId="0" localSheetId="5" customView="1" name="Z_7A9890A5_7CC2_466F_AA52_39E8D428DC1C_.wvu.Rows" hidden="1" oldHidden="1">
    <formula>'FY 2013 by Agency-Adj'!$1:$3,'FY 2013 by Agency-Adj'!$228:$242</formula>
    <oldFormula>'FY 2013 by Agency-Adj'!$1:$3,'FY 2013 by Agency-Adj'!$228:$242</oldFormula>
  </rdn>
  <rdn rId="0" localSheetId="5" customView="1" name="Z_7A9890A5_7CC2_466F_AA52_39E8D428DC1C_.wvu.Cols" hidden="1" oldHidden="1">
    <formula>'FY 2013 by Agency-Adj'!$AJ:$AM,'FY 2013 by Agency-Adj'!$AP:$AS,'FY 2013 by Agency-Adj'!$BX:$BX</formula>
    <oldFormula>'FY 2013 by Agency-Adj'!$AJ:$AM,'FY 2013 by Agency-Adj'!$AP:$AS,'FY 2013 by Agency-Adj'!$BX:$BX</oldFormula>
  </rdn>
  <rdn rId="0" localSheetId="8" customView="1" name="Z_7A9890A5_7CC2_466F_AA52_39E8D428DC1C_.wvu.Rows" hidden="1" oldHidden="1">
    <formula>'Sheet 4'!$1:$6</formula>
    <oldFormula>'Sheet 4'!$1:$6</oldFormula>
  </rdn>
  <rcv guid="{7A9890A5-7CC2-466F-AA52-39E8D428DC1C}"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A5A3E369-CAED-49D7-8096-22426CA58070}" name="silverman" id="-794694921" dateTime="2012-08-17T14:30:2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24.bin"/><Relationship Id="rId13" Type="http://schemas.openxmlformats.org/officeDocument/2006/relationships/printerSettings" Target="../printerSettings/printerSettings129.bin"/><Relationship Id="rId3" Type="http://schemas.openxmlformats.org/officeDocument/2006/relationships/printerSettings" Target="../printerSettings/printerSettings119.bin"/><Relationship Id="rId7" Type="http://schemas.openxmlformats.org/officeDocument/2006/relationships/printerSettings" Target="../printerSettings/printerSettings123.bin"/><Relationship Id="rId12" Type="http://schemas.openxmlformats.org/officeDocument/2006/relationships/printerSettings" Target="../printerSettings/printerSettings128.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 Id="rId6" Type="http://schemas.openxmlformats.org/officeDocument/2006/relationships/printerSettings" Target="../printerSettings/printerSettings122.bin"/><Relationship Id="rId11" Type="http://schemas.openxmlformats.org/officeDocument/2006/relationships/printerSettings" Target="../printerSettings/printerSettings127.bin"/><Relationship Id="rId5" Type="http://schemas.openxmlformats.org/officeDocument/2006/relationships/printerSettings" Target="../printerSettings/printerSettings121.bin"/><Relationship Id="rId15" Type="http://schemas.openxmlformats.org/officeDocument/2006/relationships/printerSettings" Target="../printerSettings/printerSettings131.bin"/><Relationship Id="rId10" Type="http://schemas.openxmlformats.org/officeDocument/2006/relationships/printerSettings" Target="../printerSettings/printerSettings126.bin"/><Relationship Id="rId4" Type="http://schemas.openxmlformats.org/officeDocument/2006/relationships/printerSettings" Target="../printerSettings/printerSettings120.bin"/><Relationship Id="rId9" Type="http://schemas.openxmlformats.org/officeDocument/2006/relationships/printerSettings" Target="../printerSettings/printerSettings125.bin"/><Relationship Id="rId14" Type="http://schemas.openxmlformats.org/officeDocument/2006/relationships/printerSettings" Target="../printerSettings/printerSettings130.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39.bin"/><Relationship Id="rId13" Type="http://schemas.openxmlformats.org/officeDocument/2006/relationships/printerSettings" Target="../printerSettings/printerSettings144.bin"/><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12" Type="http://schemas.openxmlformats.org/officeDocument/2006/relationships/printerSettings" Target="../printerSettings/printerSettings143.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11" Type="http://schemas.openxmlformats.org/officeDocument/2006/relationships/printerSettings" Target="../printerSettings/printerSettings142.bin"/><Relationship Id="rId5" Type="http://schemas.openxmlformats.org/officeDocument/2006/relationships/printerSettings" Target="../printerSettings/printerSettings136.bin"/><Relationship Id="rId15" Type="http://schemas.openxmlformats.org/officeDocument/2006/relationships/printerSettings" Target="../printerSettings/printerSettings146.bin"/><Relationship Id="rId10" Type="http://schemas.openxmlformats.org/officeDocument/2006/relationships/printerSettings" Target="../printerSettings/printerSettings141.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 Id="rId14" Type="http://schemas.openxmlformats.org/officeDocument/2006/relationships/printerSettings" Target="../printerSettings/printerSettings14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comments" Target="../comments1.xml"/><Relationship Id="rId2" Type="http://schemas.openxmlformats.org/officeDocument/2006/relationships/printerSettings" Target="../printerSettings/printerSettings36.bin"/><Relationship Id="rId16" Type="http://schemas.openxmlformats.org/officeDocument/2006/relationships/vmlDrawing" Target="../drawings/vmlDrawing1.vml"/><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10" Type="http://schemas.openxmlformats.org/officeDocument/2006/relationships/printerSettings" Target="../printerSettings/printerSettings44.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7.bin"/><Relationship Id="rId13" Type="http://schemas.openxmlformats.org/officeDocument/2006/relationships/printerSettings" Target="../printerSettings/printerSettings62.bin"/><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12" Type="http://schemas.openxmlformats.org/officeDocument/2006/relationships/printerSettings" Target="../printerSettings/printerSettings61.bin"/><Relationship Id="rId17" Type="http://schemas.openxmlformats.org/officeDocument/2006/relationships/comments" Target="../comments2.xml"/><Relationship Id="rId2" Type="http://schemas.openxmlformats.org/officeDocument/2006/relationships/printerSettings" Target="../printerSettings/printerSettings51.bin"/><Relationship Id="rId16" Type="http://schemas.openxmlformats.org/officeDocument/2006/relationships/vmlDrawing" Target="../drawings/vmlDrawing2.vml"/><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11" Type="http://schemas.openxmlformats.org/officeDocument/2006/relationships/printerSettings" Target="../printerSettings/printerSettings60.bin"/><Relationship Id="rId5" Type="http://schemas.openxmlformats.org/officeDocument/2006/relationships/printerSettings" Target="../printerSettings/printerSettings54.bin"/><Relationship Id="rId15" Type="http://schemas.openxmlformats.org/officeDocument/2006/relationships/printerSettings" Target="../printerSettings/printerSettings64.bin"/><Relationship Id="rId10" Type="http://schemas.openxmlformats.org/officeDocument/2006/relationships/printerSettings" Target="../printerSettings/printerSettings59.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 Id="rId14" Type="http://schemas.openxmlformats.org/officeDocument/2006/relationships/printerSettings" Target="../printerSettings/printerSettings6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7.bin"/><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10" Type="http://schemas.openxmlformats.org/officeDocument/2006/relationships/printerSettings" Target="../printerSettings/printerSettings89.bin"/><Relationship Id="rId4" Type="http://schemas.openxmlformats.org/officeDocument/2006/relationships/printerSettings" Target="../printerSettings/printerSettings83.bin"/><Relationship Id="rId9" Type="http://schemas.openxmlformats.org/officeDocument/2006/relationships/printerSettings" Target="../printerSettings/printerSettings8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7.bin"/><Relationship Id="rId3" Type="http://schemas.openxmlformats.org/officeDocument/2006/relationships/printerSettings" Target="../printerSettings/printerSettings92.bin"/><Relationship Id="rId7" Type="http://schemas.openxmlformats.org/officeDocument/2006/relationships/printerSettings" Target="../printerSettings/printerSettings96.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5" Type="http://schemas.openxmlformats.org/officeDocument/2006/relationships/printerSettings" Target="../printerSettings/printerSettings94.bin"/><Relationship Id="rId10" Type="http://schemas.openxmlformats.org/officeDocument/2006/relationships/printerSettings" Target="../printerSettings/printerSettings99.bin"/><Relationship Id="rId4" Type="http://schemas.openxmlformats.org/officeDocument/2006/relationships/printerSettings" Target="../printerSettings/printerSettings93.bin"/><Relationship Id="rId9" Type="http://schemas.openxmlformats.org/officeDocument/2006/relationships/printerSettings" Target="../printerSettings/printerSettings9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7.bin"/><Relationship Id="rId13" Type="http://schemas.openxmlformats.org/officeDocument/2006/relationships/printerSettings" Target="../printerSettings/printerSettings112.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12" Type="http://schemas.openxmlformats.org/officeDocument/2006/relationships/printerSettings" Target="../printerSettings/printerSettings111.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11" Type="http://schemas.openxmlformats.org/officeDocument/2006/relationships/printerSettings" Target="../printerSettings/printerSettings110.bin"/><Relationship Id="rId5" Type="http://schemas.openxmlformats.org/officeDocument/2006/relationships/printerSettings" Target="../printerSettings/printerSettings104.bin"/><Relationship Id="rId10" Type="http://schemas.openxmlformats.org/officeDocument/2006/relationships/printerSettings" Target="../printerSettings/printerSettings109.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 Id="rId14" Type="http://schemas.openxmlformats.org/officeDocument/2006/relationships/printerSettings" Target="../printerSettings/printerSettings113.bin"/></Relationships>
</file>

<file path=xl/worksheets/sheet1.xml><?xml version="1.0" encoding="utf-8"?>
<worksheet xmlns="http://schemas.openxmlformats.org/spreadsheetml/2006/main" xmlns:r="http://schemas.openxmlformats.org/officeDocument/2006/relationships">
  <dimension ref="A1:B15"/>
  <sheetViews>
    <sheetView topLeftCell="A7" workbookViewId="0">
      <selection activeCell="B17" sqref="B17"/>
    </sheetView>
  </sheetViews>
  <sheetFormatPr defaultRowHeight="12.5"/>
  <cols>
    <col min="1" max="1" width="25.81640625" customWidth="1"/>
    <col min="2" max="2" width="86.1796875" style="224" customWidth="1"/>
  </cols>
  <sheetData>
    <row r="1" spans="1:2" ht="23">
      <c r="A1" s="2" t="s">
        <v>49</v>
      </c>
    </row>
    <row r="2" spans="1:2" ht="23">
      <c r="A2" s="2" t="s">
        <v>424</v>
      </c>
    </row>
    <row r="4" spans="1:2" ht="54" customHeight="1">
      <c r="A4" s="686" t="s">
        <v>425</v>
      </c>
      <c r="B4" s="686"/>
    </row>
    <row r="6" spans="1:2" ht="13">
      <c r="A6" s="20" t="s">
        <v>218</v>
      </c>
      <c r="B6" s="225" t="s">
        <v>219</v>
      </c>
    </row>
    <row r="7" spans="1:2" s="223" customFormat="1" ht="28.5" customHeight="1">
      <c r="A7" s="221" t="s">
        <v>426</v>
      </c>
      <c r="B7" s="222" t="s">
        <v>427</v>
      </c>
    </row>
    <row r="8" spans="1:2" s="223" customFormat="1" ht="28.5" customHeight="1">
      <c r="A8" s="221" t="s">
        <v>428</v>
      </c>
      <c r="B8" s="222" t="s">
        <v>429</v>
      </c>
    </row>
    <row r="9" spans="1:2" ht="25">
      <c r="A9" s="220" t="s">
        <v>430</v>
      </c>
      <c r="B9" s="222" t="s">
        <v>431</v>
      </c>
    </row>
    <row r="10" spans="1:2" ht="25">
      <c r="A10" s="220" t="s">
        <v>432</v>
      </c>
      <c r="B10" s="222" t="s">
        <v>431</v>
      </c>
    </row>
    <row r="11" spans="1:2">
      <c r="A11" s="220" t="s">
        <v>115</v>
      </c>
      <c r="B11" s="222" t="s">
        <v>220</v>
      </c>
    </row>
    <row r="12" spans="1:2">
      <c r="A12" s="220" t="s">
        <v>482</v>
      </c>
      <c r="B12" s="222" t="s">
        <v>483</v>
      </c>
    </row>
    <row r="13" spans="1:2">
      <c r="A13" s="220" t="s">
        <v>484</v>
      </c>
      <c r="B13" s="222" t="s">
        <v>485</v>
      </c>
    </row>
    <row r="15" spans="1:2" ht="12.75" customHeight="1"/>
  </sheetData>
  <customSheetViews>
    <customSheetView guid="{7A9890A5-7CC2-466F-AA52-39E8D428DC1C}">
      <selection activeCell="B1" sqref="B1"/>
      <pageMargins left="0.75" right="0.75" top="1" bottom="1" header="0.5" footer="0.5"/>
      <pageSetup orientation="portrait" r:id="rId1"/>
      <headerFooter alignWithMargins="0"/>
    </customSheetView>
    <customSheetView guid="{567C3053-2D8E-4705-8DC7-18896C5303CA}" showPageBreaks="1" topLeftCell="A7">
      <selection activeCell="B17" sqref="B17"/>
      <pageMargins left="0.75" right="0.75" top="1" bottom="1" header="0.5" footer="0.5"/>
      <pageSetup orientation="portrait" r:id="rId2"/>
      <headerFooter alignWithMargins="0"/>
    </customSheetView>
    <customSheetView guid="{AEFEB150-9213-45F5-A178-7AC71E46DB11}">
      <selection activeCell="E4" sqref="E4"/>
      <pageMargins left="0.75" right="0.75" top="1" bottom="1" header="0.5" footer="0.5"/>
      <pageSetup orientation="portrait" r:id="rId3"/>
      <headerFooter alignWithMargins="0"/>
    </customSheetView>
    <customSheetView guid="{E81D05A4-5B21-42D3-A8D3-906ABCABC0F4}">
      <selection activeCell="A11" sqref="A11"/>
      <pageMargins left="0.75" right="0.75" top="1" bottom="1" header="0.5" footer="0.5"/>
      <pageSetup orientation="portrait" r:id="rId4"/>
      <headerFooter alignWithMargins="0"/>
    </customSheetView>
    <customSheetView guid="{A2518DB3-3A80-4035-9307-EC50A7C923F2}">
      <selection activeCell="A12" sqref="A12"/>
      <pageMargins left="0.75" right="0.75" top="1" bottom="1" header="0.5" footer="0.5"/>
      <pageSetup orientation="portrait" r:id="rId5"/>
      <headerFooter alignWithMargins="0"/>
    </customSheetView>
    <customSheetView guid="{50528D02-548E-47E0-94D7-D1E79CD3569C}">
      <selection activeCell="A12" sqref="A12"/>
      <pageMargins left="0.75" right="0.75" top="1" bottom="1" header="0.5" footer="0.5"/>
      <pageSetup orientation="portrait" r:id="rId6"/>
      <headerFooter alignWithMargins="0"/>
    </customSheetView>
    <customSheetView guid="{E44F5FE1-54FC-4AB3-84F9-7D65ACF2DDE7}">
      <selection activeCell="E4" sqref="E4"/>
      <pageMargins left="0.75" right="0.75" top="1" bottom="1" header="0.5" footer="0.5"/>
      <pageSetup orientation="portrait" r:id="rId7"/>
      <headerFooter alignWithMargins="0"/>
    </customSheetView>
    <customSheetView guid="{94DA13B6-7351-40F3-8CF7-A4211EC439DA}">
      <selection activeCell="E4" sqref="E4"/>
      <pageMargins left="0.75" right="0.75" top="1" bottom="1" header="0.5" footer="0.5"/>
      <pageSetup orientation="portrait" r:id="rId8"/>
      <headerFooter alignWithMargins="0"/>
    </customSheetView>
    <customSheetView guid="{8F508F4D-4777-42BE-9707-8CB9355F7BDB}">
      <selection activeCell="E4" sqref="E4"/>
      <pageMargins left="0.75" right="0.75" top="1" bottom="1" header="0.5" footer="0.5"/>
      <pageSetup orientation="portrait" r:id="rId9"/>
      <headerFooter alignWithMargins="0"/>
    </customSheetView>
    <customSheetView guid="{F784130D-F647-4ABA-8943-C79CA5B0FDC4}">
      <selection activeCell="E4" sqref="E4"/>
      <pageMargins left="0.75" right="0.75" top="1" bottom="1" header="0.5" footer="0.5"/>
      <pageSetup orientation="portrait" r:id="rId10"/>
      <headerFooter alignWithMargins="0"/>
    </customSheetView>
    <customSheetView guid="{1E5198E1-BA46-4CE0-8628-4F695B0D7A3B}">
      <selection activeCell="E4" sqref="E4"/>
      <pageMargins left="0.75" right="0.75" top="1" bottom="1" header="0.5" footer="0.5"/>
      <pageSetup orientation="portrait" r:id="rId11"/>
      <headerFooter alignWithMargins="0"/>
    </customSheetView>
    <customSheetView guid="{455630F5-40FC-47DB-8AD4-712C20B8FB91}">
      <selection activeCell="A12" sqref="A12"/>
      <pageMargins left="0.75" right="0.75" top="1" bottom="1" header="0.5" footer="0.5"/>
      <pageSetup orientation="portrait" r:id="rId12"/>
      <headerFooter alignWithMargins="0"/>
    </customSheetView>
    <customSheetView guid="{78CA186D-B240-44D5-8A24-D241DE0B0FD9}">
      <selection activeCell="A11" sqref="A11"/>
      <pageMargins left="0.75" right="0.75" top="1" bottom="1" header="0.5" footer="0.5"/>
      <pageSetup orientation="portrait" r:id="rId13"/>
      <headerFooter alignWithMargins="0"/>
    </customSheetView>
    <customSheetView guid="{9D4F0482-B164-4671-805A-E0D2D4DD4720}">
      <selection activeCell="E4" sqref="E4"/>
      <pageMargins left="0.75" right="0.75" top="1" bottom="1" header="0.5" footer="0.5"/>
      <pageSetup orientation="portrait" r:id="rId14"/>
      <headerFooter alignWithMargins="0"/>
    </customSheetView>
  </customSheetViews>
  <mergeCells count="1">
    <mergeCell ref="A4:B4"/>
  </mergeCells>
  <phoneticPr fontId="8" type="noConversion"/>
  <pageMargins left="0.75" right="0.75" top="1" bottom="1" header="0.5" footer="0.5"/>
  <pageSetup orientation="portrait" r:id="rId15"/>
  <headerFooter alignWithMargins="0"/>
</worksheet>
</file>

<file path=xl/worksheets/sheet10.xml><?xml version="1.0" encoding="utf-8"?>
<worksheet xmlns="http://schemas.openxmlformats.org/spreadsheetml/2006/main" xmlns:r="http://schemas.openxmlformats.org/officeDocument/2006/relationships">
  <dimension ref="A1:J322"/>
  <sheetViews>
    <sheetView topLeftCell="A7" zoomScale="85" zoomScaleNormal="85" workbookViewId="0">
      <pane xSplit="1" ySplit="3" topLeftCell="F10" activePane="bottomRight" state="frozen"/>
      <selection activeCell="A7" sqref="A7"/>
      <selection pane="topRight" activeCell="B7" sqref="B7"/>
      <selection pane="bottomLeft" activeCell="A10" sqref="A10"/>
      <selection pane="bottomRight" activeCell="M202" sqref="M202"/>
    </sheetView>
  </sheetViews>
  <sheetFormatPr defaultRowHeight="12.5"/>
  <cols>
    <col min="1" max="1" width="42.7265625" style="50" customWidth="1"/>
    <col min="2" max="2" width="13.54296875" style="52" customWidth="1"/>
    <col min="3" max="3" width="11.7265625" style="52" customWidth="1"/>
    <col min="4" max="4" width="12.1796875" style="52" customWidth="1"/>
    <col min="5" max="5" width="9.54296875" customWidth="1"/>
    <col min="6" max="6" width="12.81640625" style="52" bestFit="1" customWidth="1"/>
    <col min="7" max="7" width="12.453125" style="52" customWidth="1"/>
    <col min="8" max="8" width="12.26953125" style="99" customWidth="1"/>
  </cols>
  <sheetData>
    <row r="1" spans="1:10" ht="13" hidden="1">
      <c r="A1" s="13"/>
      <c r="E1" s="50"/>
    </row>
    <row r="2" spans="1:10" ht="13" hidden="1">
      <c r="A2" s="13"/>
      <c r="E2" s="50"/>
    </row>
    <row r="3" spans="1:10" hidden="1">
      <c r="E3" s="50"/>
    </row>
    <row r="4" spans="1:10" hidden="1">
      <c r="E4" s="50"/>
    </row>
    <row r="5" spans="1:10" hidden="1">
      <c r="A5" s="53"/>
      <c r="E5" s="50"/>
    </row>
    <row r="6" spans="1:10" ht="13" hidden="1" thickBot="1">
      <c r="E6" s="50"/>
    </row>
    <row r="7" spans="1:10" ht="13.5" customHeight="1" thickBot="1">
      <c r="A7" s="153"/>
      <c r="B7" s="184"/>
      <c r="C7" s="240"/>
      <c r="D7" s="714"/>
      <c r="E7" s="715"/>
      <c r="F7" s="184"/>
      <c r="G7" s="716"/>
      <c r="H7" s="717"/>
    </row>
    <row r="8" spans="1:10" s="4" customFormat="1" ht="32.25" customHeight="1" thickBot="1">
      <c r="A8" s="146"/>
      <c r="B8" s="56"/>
      <c r="C8" s="199"/>
      <c r="D8" s="189"/>
      <c r="E8" s="190"/>
      <c r="F8" s="56"/>
      <c r="G8" s="56"/>
      <c r="H8" s="186"/>
      <c r="J8" s="54"/>
    </row>
    <row r="9" spans="1:10" ht="18" customHeight="1">
      <c r="A9" s="104"/>
      <c r="B9" s="107"/>
      <c r="C9" s="107"/>
      <c r="D9" s="107"/>
      <c r="E9" s="109"/>
      <c r="F9" s="107"/>
      <c r="G9" s="107"/>
      <c r="H9" s="114"/>
    </row>
    <row r="10" spans="1:10" ht="18" customHeight="1">
      <c r="A10" s="53"/>
      <c r="E10" s="147"/>
      <c r="G10" s="185"/>
    </row>
    <row r="11" spans="1:10" ht="18" customHeight="1">
      <c r="A11" s="53"/>
      <c r="E11" s="147"/>
      <c r="G11" s="185"/>
    </row>
    <row r="12" spans="1:10" ht="18" customHeight="1">
      <c r="A12" s="53"/>
      <c r="E12" s="147"/>
      <c r="G12" s="185"/>
    </row>
    <row r="13" spans="1:10" ht="18" customHeight="1">
      <c r="A13" s="53"/>
      <c r="E13" s="147"/>
      <c r="G13" s="185"/>
    </row>
    <row r="14" spans="1:10" ht="18" customHeight="1">
      <c r="A14" s="53"/>
      <c r="E14" s="147"/>
      <c r="G14" s="185"/>
    </row>
    <row r="15" spans="1:10" ht="18" customHeight="1">
      <c r="A15" s="53"/>
      <c r="E15" s="147"/>
      <c r="G15" s="185"/>
    </row>
    <row r="16" spans="1:10" ht="18" customHeight="1">
      <c r="A16" s="53"/>
      <c r="E16" s="147"/>
      <c r="G16" s="185"/>
    </row>
    <row r="17" spans="1:7" ht="18" customHeight="1">
      <c r="A17" s="53"/>
      <c r="E17" s="147"/>
      <c r="G17" s="185"/>
    </row>
    <row r="18" spans="1:7" ht="18" customHeight="1">
      <c r="A18" s="53"/>
      <c r="E18" s="147"/>
      <c r="G18" s="185"/>
    </row>
    <row r="19" spans="1:7" ht="18" customHeight="1">
      <c r="A19" s="53"/>
      <c r="E19" s="147"/>
      <c r="G19" s="185"/>
    </row>
    <row r="20" spans="1:7" ht="18" customHeight="1">
      <c r="A20" s="103"/>
      <c r="E20" s="147"/>
      <c r="G20" s="185"/>
    </row>
    <row r="21" spans="1:7" ht="18" customHeight="1">
      <c r="A21" s="53"/>
      <c r="E21" s="147"/>
      <c r="G21" s="185"/>
    </row>
    <row r="22" spans="1:7" ht="18" customHeight="1">
      <c r="A22" s="53"/>
      <c r="E22" s="70"/>
      <c r="G22" s="185"/>
    </row>
    <row r="23" spans="1:7" ht="18" customHeight="1">
      <c r="A23" s="103"/>
      <c r="E23" s="147"/>
      <c r="G23" s="185"/>
    </row>
    <row r="24" spans="1:7" ht="18" customHeight="1">
      <c r="A24" s="103"/>
      <c r="E24" s="147"/>
      <c r="G24" s="185"/>
    </row>
    <row r="25" spans="1:7" ht="18" customHeight="1">
      <c r="A25" s="103"/>
      <c r="E25" s="147"/>
      <c r="G25" s="185"/>
    </row>
    <row r="26" spans="1:7" ht="18" customHeight="1">
      <c r="A26" s="53"/>
      <c r="E26" s="147"/>
      <c r="G26" s="185"/>
    </row>
    <row r="27" spans="1:7" ht="18" customHeight="1">
      <c r="A27" s="53"/>
      <c r="E27" s="147"/>
      <c r="G27" s="185"/>
    </row>
    <row r="28" spans="1:7" ht="18" customHeight="1">
      <c r="A28" s="53"/>
      <c r="E28" s="147"/>
      <c r="G28" s="185"/>
    </row>
    <row r="29" spans="1:7" ht="18" customHeight="1">
      <c r="A29" s="53"/>
      <c r="E29" s="147"/>
      <c r="G29" s="185"/>
    </row>
    <row r="30" spans="1:7" ht="18" customHeight="1">
      <c r="A30" s="53"/>
      <c r="E30" s="147"/>
      <c r="G30" s="185"/>
    </row>
    <row r="31" spans="1:7" ht="18" customHeight="1">
      <c r="A31" s="53"/>
      <c r="E31" s="147"/>
      <c r="G31" s="185"/>
    </row>
    <row r="32" spans="1:7" ht="18" customHeight="1">
      <c r="A32" s="53"/>
      <c r="E32" s="147"/>
      <c r="G32" s="185"/>
    </row>
    <row r="33" spans="1:8" ht="18" customHeight="1">
      <c r="A33" s="53"/>
      <c r="E33" s="147"/>
      <c r="F33" s="69"/>
      <c r="G33" s="185"/>
    </row>
    <row r="34" spans="1:8" s="4" customFormat="1" ht="18" customHeight="1" thickBot="1">
      <c r="A34" s="130"/>
      <c r="B34" s="75"/>
      <c r="C34" s="75"/>
      <c r="D34" s="75"/>
      <c r="E34" s="149"/>
      <c r="F34" s="75"/>
      <c r="G34" s="187"/>
      <c r="H34" s="129"/>
    </row>
    <row r="35" spans="1:8" ht="18" customHeight="1">
      <c r="A35" s="64"/>
      <c r="B35" s="12"/>
      <c r="C35" s="12"/>
      <c r="E35" s="147"/>
      <c r="F35" s="12"/>
      <c r="G35" s="185"/>
    </row>
    <row r="36" spans="1:8" ht="18" customHeight="1">
      <c r="A36" s="64"/>
      <c r="B36" s="12"/>
      <c r="C36" s="12"/>
      <c r="E36" s="148"/>
      <c r="F36" s="12"/>
      <c r="G36" s="185"/>
    </row>
    <row r="37" spans="1:8" ht="18" customHeight="1">
      <c r="A37" s="73"/>
      <c r="B37" s="12"/>
      <c r="C37" s="12"/>
      <c r="E37" s="148"/>
      <c r="F37" s="12"/>
      <c r="G37" s="185"/>
    </row>
    <row r="38" spans="1:8" ht="18" customHeight="1">
      <c r="A38" s="73"/>
      <c r="B38" s="12"/>
      <c r="C38" s="12"/>
      <c r="E38" s="147"/>
      <c r="F38" s="12"/>
      <c r="G38" s="185"/>
    </row>
    <row r="39" spans="1:8" ht="18" customHeight="1">
      <c r="A39" s="73"/>
      <c r="B39" s="12"/>
      <c r="C39" s="12"/>
      <c r="E39" s="147"/>
      <c r="F39" s="12"/>
      <c r="G39" s="185"/>
    </row>
    <row r="40" spans="1:8" ht="18" customHeight="1">
      <c r="A40" s="73"/>
      <c r="G40" s="185"/>
    </row>
    <row r="41" spans="1:8" ht="18" customHeight="1">
      <c r="A41" s="73"/>
      <c r="E41" s="147"/>
      <c r="G41" s="185"/>
    </row>
    <row r="42" spans="1:8" s="196" customFormat="1" ht="18" customHeight="1" thickBot="1">
      <c r="A42" s="191"/>
      <c r="B42" s="192"/>
      <c r="C42" s="192"/>
      <c r="D42" s="192"/>
      <c r="E42" s="193"/>
      <c r="F42" s="192"/>
      <c r="G42" s="194"/>
      <c r="H42" s="195"/>
    </row>
    <row r="43" spans="1:8" ht="18" customHeight="1">
      <c r="A43" s="59"/>
      <c r="E43" s="147"/>
      <c r="G43" s="185"/>
    </row>
    <row r="44" spans="1:8" ht="18" customHeight="1">
      <c r="A44" s="59"/>
      <c r="E44" s="147"/>
      <c r="G44" s="185"/>
    </row>
    <row r="45" spans="1:8" ht="18" customHeight="1">
      <c r="A45" s="59"/>
      <c r="E45" s="147"/>
      <c r="G45" s="185"/>
    </row>
    <row r="46" spans="1:8" ht="18" customHeight="1">
      <c r="A46" s="59"/>
      <c r="E46" s="147"/>
      <c r="G46" s="185"/>
    </row>
    <row r="47" spans="1:8" ht="18" customHeight="1">
      <c r="A47" s="59"/>
      <c r="E47" s="147"/>
      <c r="G47" s="185"/>
    </row>
    <row r="48" spans="1:8" ht="18" customHeight="1">
      <c r="A48" s="59"/>
      <c r="E48" s="147"/>
      <c r="G48" s="185"/>
    </row>
    <row r="49" spans="1:8" ht="18" customHeight="1">
      <c r="A49" s="59"/>
      <c r="E49" s="147"/>
      <c r="G49" s="185"/>
    </row>
    <row r="50" spans="1:8" ht="18" customHeight="1">
      <c r="A50" s="59"/>
      <c r="E50" s="147"/>
      <c r="G50" s="185"/>
    </row>
    <row r="51" spans="1:8" ht="18" customHeight="1">
      <c r="A51" s="59"/>
      <c r="E51" s="147"/>
      <c r="G51" s="185"/>
    </row>
    <row r="52" spans="1:8" ht="18" customHeight="1">
      <c r="A52" s="53"/>
      <c r="E52" s="147"/>
      <c r="G52" s="185"/>
    </row>
    <row r="53" spans="1:8" ht="18" customHeight="1">
      <c r="A53" s="53"/>
      <c r="E53" s="147"/>
      <c r="G53" s="185"/>
    </row>
    <row r="54" spans="1:8" ht="18" customHeight="1">
      <c r="A54" s="63"/>
      <c r="E54" s="147"/>
      <c r="G54" s="185"/>
    </row>
    <row r="55" spans="1:8" ht="18" customHeight="1">
      <c r="A55" s="63"/>
      <c r="E55" s="147"/>
      <c r="G55" s="185"/>
    </row>
    <row r="56" spans="1:8" ht="18" customHeight="1">
      <c r="A56" s="63"/>
      <c r="E56" s="147"/>
      <c r="G56" s="185"/>
    </row>
    <row r="57" spans="1:8" ht="18" customHeight="1">
      <c r="A57" s="63"/>
      <c r="E57" s="147"/>
      <c r="G57" s="185"/>
    </row>
    <row r="58" spans="1:8" ht="18" customHeight="1">
      <c r="A58" s="63"/>
      <c r="E58" s="147"/>
      <c r="G58" s="185"/>
    </row>
    <row r="59" spans="1:8" ht="18" customHeight="1">
      <c r="A59" s="63"/>
      <c r="E59" s="147"/>
      <c r="G59" s="185"/>
    </row>
    <row r="60" spans="1:8" ht="18" customHeight="1">
      <c r="A60" s="63"/>
      <c r="E60" s="147"/>
      <c r="G60" s="185"/>
    </row>
    <row r="61" spans="1:8" s="4" customFormat="1" ht="18" customHeight="1" thickBot="1">
      <c r="A61" s="54"/>
      <c r="B61" s="75"/>
      <c r="C61" s="75"/>
      <c r="D61" s="75"/>
      <c r="E61" s="76"/>
      <c r="F61" s="75"/>
      <c r="G61" s="187"/>
      <c r="H61" s="129"/>
    </row>
    <row r="62" spans="1:8" ht="18" customHeight="1">
      <c r="A62" s="64"/>
      <c r="B62" s="12"/>
      <c r="C62" s="12"/>
      <c r="E62" s="147"/>
      <c r="F62" s="12"/>
      <c r="G62" s="185"/>
    </row>
    <row r="63" spans="1:8" ht="18" customHeight="1">
      <c r="A63" s="64"/>
      <c r="B63" s="12"/>
      <c r="C63" s="12"/>
      <c r="E63" s="148"/>
      <c r="F63" s="12"/>
      <c r="G63" s="185"/>
    </row>
    <row r="64" spans="1:8" ht="18" customHeight="1">
      <c r="A64" s="73"/>
      <c r="B64" s="12"/>
      <c r="C64" s="12"/>
      <c r="E64" s="147"/>
      <c r="F64" s="12"/>
      <c r="G64" s="185"/>
    </row>
    <row r="65" spans="1:8" ht="18" customHeight="1">
      <c r="A65" s="73"/>
      <c r="B65" s="12"/>
      <c r="C65" s="12"/>
      <c r="F65" s="12"/>
      <c r="G65" s="185"/>
    </row>
    <row r="66" spans="1:8" ht="18" customHeight="1">
      <c r="A66" s="73"/>
      <c r="B66" s="12"/>
      <c r="C66" s="12"/>
      <c r="E66" s="147"/>
      <c r="F66" s="12"/>
      <c r="G66" s="185"/>
    </row>
    <row r="67" spans="1:8" ht="18" customHeight="1">
      <c r="A67" s="73"/>
      <c r="B67" s="12"/>
      <c r="C67" s="12"/>
      <c r="E67" s="147"/>
      <c r="F67" s="12"/>
      <c r="G67" s="185"/>
    </row>
    <row r="68" spans="1:8" ht="18" customHeight="1">
      <c r="A68" s="73"/>
      <c r="B68" s="12"/>
      <c r="C68" s="12"/>
      <c r="E68" s="70"/>
      <c r="F68" s="12"/>
      <c r="G68" s="185"/>
    </row>
    <row r="69" spans="1:8" ht="18" customHeight="1">
      <c r="A69" s="73"/>
      <c r="E69" s="147"/>
      <c r="G69" s="185"/>
    </row>
    <row r="70" spans="1:8" s="196" customFormat="1" ht="18" customHeight="1" thickBot="1">
      <c r="A70" s="191"/>
      <c r="B70" s="192"/>
      <c r="C70" s="192"/>
      <c r="D70" s="192"/>
      <c r="E70" s="193"/>
      <c r="F70" s="192"/>
      <c r="G70" s="194"/>
      <c r="H70" s="195"/>
    </row>
    <row r="71" spans="1:8" ht="18" customHeight="1">
      <c r="A71" s="57"/>
      <c r="E71" s="147"/>
      <c r="G71" s="185"/>
    </row>
    <row r="72" spans="1:8" ht="18" customHeight="1">
      <c r="A72" s="57"/>
      <c r="E72" s="147"/>
      <c r="G72" s="185"/>
    </row>
    <row r="73" spans="1:8" ht="18" customHeight="1">
      <c r="A73" s="59"/>
      <c r="E73" s="147"/>
      <c r="G73" s="185"/>
    </row>
    <row r="74" spans="1:8" ht="18" customHeight="1">
      <c r="A74" s="59"/>
      <c r="E74" s="147"/>
      <c r="G74" s="185"/>
    </row>
    <row r="75" spans="1:8" ht="18" customHeight="1">
      <c r="A75" s="57"/>
      <c r="E75" s="147"/>
      <c r="G75" s="185"/>
    </row>
    <row r="76" spans="1:8" ht="18" customHeight="1">
      <c r="A76" s="57"/>
      <c r="E76" s="147"/>
      <c r="G76" s="185"/>
    </row>
    <row r="77" spans="1:8" ht="18" customHeight="1">
      <c r="A77" s="57"/>
      <c r="E77" s="147"/>
      <c r="G77" s="185"/>
    </row>
    <row r="78" spans="1:8" ht="18" customHeight="1">
      <c r="A78" s="57"/>
      <c r="E78" s="147"/>
      <c r="G78" s="185"/>
    </row>
    <row r="79" spans="1:8" ht="18" customHeight="1">
      <c r="A79" s="57"/>
      <c r="E79" s="147"/>
      <c r="G79" s="185"/>
    </row>
    <row r="80" spans="1:8" ht="18" customHeight="1">
      <c r="A80" s="59"/>
      <c r="E80" s="147"/>
      <c r="G80" s="185"/>
    </row>
    <row r="81" spans="1:8" ht="18" customHeight="1">
      <c r="A81" s="59"/>
      <c r="E81" s="147"/>
      <c r="G81" s="185"/>
    </row>
    <row r="82" spans="1:8" ht="18" customHeight="1">
      <c r="A82" s="59"/>
      <c r="E82" s="147"/>
      <c r="G82" s="185"/>
    </row>
    <row r="83" spans="1:8" ht="18" customHeight="1">
      <c r="A83" s="59"/>
      <c r="E83" s="70"/>
      <c r="G83" s="185"/>
    </row>
    <row r="84" spans="1:8" ht="18" customHeight="1">
      <c r="A84" s="59"/>
      <c r="E84" s="147"/>
      <c r="G84" s="185"/>
    </row>
    <row r="85" spans="1:8" ht="18" customHeight="1">
      <c r="A85" s="59"/>
      <c r="E85" s="147"/>
      <c r="G85" s="185"/>
    </row>
    <row r="86" spans="1:8" ht="18" customHeight="1">
      <c r="A86" s="59"/>
      <c r="E86" s="147"/>
      <c r="G86" s="185"/>
    </row>
    <row r="87" spans="1:8" ht="18" customHeight="1">
      <c r="A87" s="59"/>
      <c r="E87" s="147"/>
      <c r="G87" s="185"/>
    </row>
    <row r="88" spans="1:8" ht="18" customHeight="1">
      <c r="A88" s="53"/>
      <c r="E88" s="147"/>
      <c r="F88" s="69"/>
      <c r="G88" s="185"/>
    </row>
    <row r="89" spans="1:8" s="4" customFormat="1" ht="18" customHeight="1" thickBot="1">
      <c r="A89" s="54"/>
      <c r="B89" s="75"/>
      <c r="C89" s="75"/>
      <c r="D89" s="75"/>
      <c r="E89" s="76"/>
      <c r="F89" s="75"/>
      <c r="G89" s="187"/>
      <c r="H89" s="129"/>
    </row>
    <row r="90" spans="1:8" s="13" customFormat="1" ht="18" customHeight="1">
      <c r="A90" s="64"/>
      <c r="B90" s="12"/>
      <c r="C90" s="12"/>
      <c r="D90" s="12"/>
      <c r="E90" s="148"/>
      <c r="F90" s="12"/>
      <c r="G90" s="197"/>
      <c r="H90" s="97"/>
    </row>
    <row r="91" spans="1:8" ht="18" customHeight="1">
      <c r="A91" s="64"/>
      <c r="B91" s="12"/>
      <c r="C91" s="12"/>
      <c r="E91" s="147"/>
      <c r="F91" s="12"/>
      <c r="G91" s="185"/>
    </row>
    <row r="92" spans="1:8" ht="18" customHeight="1">
      <c r="A92" s="73"/>
      <c r="B92" s="12"/>
      <c r="C92" s="12"/>
      <c r="E92" s="147"/>
      <c r="F92" s="12"/>
      <c r="G92" s="185"/>
    </row>
    <row r="93" spans="1:8" ht="18" customHeight="1">
      <c r="A93" s="73"/>
      <c r="B93" s="12"/>
      <c r="C93" s="12"/>
      <c r="E93" s="147"/>
      <c r="F93" s="12"/>
      <c r="G93" s="185"/>
    </row>
    <row r="94" spans="1:8" ht="18" customHeight="1">
      <c r="A94" s="73"/>
      <c r="B94" s="12"/>
      <c r="C94" s="12"/>
      <c r="E94" s="147"/>
      <c r="F94" s="12"/>
      <c r="G94" s="185"/>
    </row>
    <row r="95" spans="1:8" ht="18" customHeight="1">
      <c r="A95" s="83"/>
      <c r="E95" s="147"/>
      <c r="G95" s="185"/>
    </row>
    <row r="96" spans="1:8" ht="18" customHeight="1">
      <c r="A96" s="83"/>
      <c r="E96" s="147"/>
      <c r="G96" s="185"/>
    </row>
    <row r="97" spans="1:8" ht="18" customHeight="1">
      <c r="A97" s="64"/>
      <c r="E97" s="147"/>
      <c r="G97" s="185"/>
    </row>
    <row r="98" spans="1:8" s="196" customFormat="1" ht="18" customHeight="1" thickBot="1">
      <c r="A98" s="191"/>
      <c r="B98" s="192"/>
      <c r="C98" s="192"/>
      <c r="D98" s="192"/>
      <c r="E98" s="193"/>
      <c r="F98" s="192"/>
      <c r="G98" s="194"/>
      <c r="H98" s="195"/>
    </row>
    <row r="99" spans="1:8" ht="18" customHeight="1">
      <c r="A99" s="53"/>
      <c r="E99" s="147"/>
      <c r="F99" s="69"/>
      <c r="G99" s="185"/>
    </row>
    <row r="100" spans="1:8" ht="18" customHeight="1">
      <c r="A100" s="53"/>
      <c r="E100" s="147"/>
      <c r="F100" s="155"/>
      <c r="G100" s="185"/>
    </row>
    <row r="101" spans="1:8" ht="18" customHeight="1">
      <c r="A101" s="53"/>
      <c r="E101" s="147"/>
      <c r="G101" s="185"/>
      <c r="H101" s="70"/>
    </row>
    <row r="102" spans="1:8" ht="18" customHeight="1">
      <c r="A102" s="59"/>
      <c r="E102" s="147"/>
      <c r="G102" s="185"/>
    </row>
    <row r="103" spans="1:8" ht="18" customHeight="1">
      <c r="A103" s="57"/>
      <c r="E103" s="147"/>
      <c r="G103" s="185"/>
    </row>
    <row r="104" spans="1:8" ht="18" customHeight="1">
      <c r="A104" s="57"/>
      <c r="E104" s="147"/>
      <c r="G104" s="185"/>
    </row>
    <row r="105" spans="1:8" ht="18" customHeight="1">
      <c r="A105" s="63"/>
      <c r="E105" s="147"/>
      <c r="F105" s="69"/>
      <c r="G105" s="185"/>
    </row>
    <row r="106" spans="1:8" ht="18" customHeight="1">
      <c r="A106" s="63"/>
      <c r="E106" s="147"/>
      <c r="F106" s="69"/>
      <c r="G106" s="185"/>
    </row>
    <row r="107" spans="1:8" ht="18" customHeight="1">
      <c r="A107" s="63"/>
      <c r="E107" s="147"/>
      <c r="G107" s="185"/>
    </row>
    <row r="108" spans="1:8" ht="18" customHeight="1">
      <c r="A108" s="63"/>
      <c r="E108" s="70"/>
      <c r="G108" s="185"/>
    </row>
    <row r="109" spans="1:8" s="4" customFormat="1" ht="18" customHeight="1" thickBot="1">
      <c r="A109" s="54"/>
      <c r="B109" s="75"/>
      <c r="C109" s="75"/>
      <c r="D109" s="75"/>
      <c r="E109" s="149"/>
      <c r="F109" s="75"/>
      <c r="G109" s="187"/>
      <c r="H109" s="129"/>
    </row>
    <row r="110" spans="1:8" s="13" customFormat="1" ht="18" customHeight="1">
      <c r="A110" s="64"/>
      <c r="B110" s="12"/>
      <c r="C110" s="12"/>
      <c r="D110" s="12"/>
      <c r="E110" s="148"/>
      <c r="F110" s="12"/>
      <c r="G110" s="197"/>
      <c r="H110" s="97"/>
    </row>
    <row r="111" spans="1:8" ht="18" customHeight="1">
      <c r="A111" s="64"/>
      <c r="B111" s="12"/>
      <c r="C111" s="12"/>
      <c r="E111" s="147"/>
      <c r="F111" s="12"/>
      <c r="G111" s="185"/>
    </row>
    <row r="112" spans="1:8" ht="18" customHeight="1">
      <c r="A112" s="73"/>
      <c r="E112" s="147"/>
      <c r="G112" s="185"/>
    </row>
    <row r="113" spans="1:8" ht="18" customHeight="1">
      <c r="A113" s="73"/>
      <c r="E113" s="147"/>
      <c r="G113" s="185"/>
    </row>
    <row r="114" spans="1:8" ht="18" customHeight="1">
      <c r="A114" s="73"/>
      <c r="E114" s="147"/>
      <c r="G114" s="185"/>
    </row>
    <row r="115" spans="1:8" ht="18" customHeight="1">
      <c r="A115" s="73"/>
      <c r="E115" s="147"/>
      <c r="G115" s="185"/>
    </row>
    <row r="116" spans="1:8" ht="18" customHeight="1">
      <c r="A116" s="73"/>
      <c r="E116" s="147"/>
      <c r="G116" s="185"/>
    </row>
    <row r="117" spans="1:8" ht="18" customHeight="1">
      <c r="A117" s="73"/>
      <c r="E117" s="147"/>
      <c r="G117" s="185"/>
    </row>
    <row r="118" spans="1:8" ht="18" customHeight="1">
      <c r="A118" s="73"/>
      <c r="E118" s="147"/>
      <c r="G118" s="185"/>
    </row>
    <row r="119" spans="1:8" ht="18" customHeight="1">
      <c r="A119" s="73"/>
      <c r="E119" s="147"/>
      <c r="G119" s="185"/>
    </row>
    <row r="120" spans="1:8" s="196" customFormat="1" ht="18" customHeight="1" thickBot="1">
      <c r="A120" s="191"/>
      <c r="B120" s="192"/>
      <c r="C120" s="192"/>
      <c r="D120" s="192"/>
      <c r="E120" s="193"/>
      <c r="F120" s="192"/>
      <c r="G120" s="194"/>
      <c r="H120" s="195"/>
    </row>
    <row r="121" spans="1:8" ht="18" customHeight="1">
      <c r="A121" s="59"/>
      <c r="E121" s="147"/>
      <c r="G121" s="185"/>
    </row>
    <row r="122" spans="1:8" ht="18" customHeight="1">
      <c r="A122" s="59"/>
      <c r="E122" s="147"/>
      <c r="G122" s="185"/>
    </row>
    <row r="123" spans="1:8" ht="18" customHeight="1">
      <c r="A123" s="59"/>
      <c r="E123" s="147"/>
      <c r="G123" s="185"/>
    </row>
    <row r="124" spans="1:8" ht="18" customHeight="1">
      <c r="A124" s="59"/>
      <c r="E124" s="147"/>
      <c r="G124" s="185"/>
    </row>
    <row r="125" spans="1:8" ht="18" customHeight="1">
      <c r="A125" s="57"/>
      <c r="E125" s="147"/>
      <c r="G125" s="185"/>
    </row>
    <row r="126" spans="1:8" ht="18" customHeight="1">
      <c r="A126" s="57"/>
      <c r="E126" s="147"/>
      <c r="G126" s="185"/>
    </row>
    <row r="127" spans="1:8" ht="18" customHeight="1">
      <c r="A127" s="57"/>
      <c r="E127" s="147"/>
      <c r="G127" s="185"/>
    </row>
    <row r="128" spans="1:8" ht="18" customHeight="1">
      <c r="A128" s="57"/>
      <c r="E128" s="147"/>
      <c r="G128" s="185"/>
    </row>
    <row r="129" spans="1:8" ht="18" customHeight="1">
      <c r="A129" s="57"/>
      <c r="E129" s="147"/>
      <c r="G129" s="185"/>
    </row>
    <row r="130" spans="1:8" ht="18" customHeight="1">
      <c r="A130" s="57"/>
      <c r="E130" s="147"/>
      <c r="G130" s="185"/>
    </row>
    <row r="131" spans="1:8" ht="18" customHeight="1">
      <c r="A131" s="57"/>
      <c r="E131" s="147"/>
      <c r="G131" s="185"/>
    </row>
    <row r="132" spans="1:8" ht="18" customHeight="1">
      <c r="A132" s="57"/>
      <c r="E132" s="147"/>
      <c r="G132" s="185"/>
    </row>
    <row r="133" spans="1:8" ht="18" customHeight="1">
      <c r="A133" s="57"/>
      <c r="E133" s="147"/>
      <c r="G133" s="185"/>
    </row>
    <row r="134" spans="1:8" ht="18" customHeight="1">
      <c r="A134" s="63"/>
      <c r="E134" s="147"/>
      <c r="G134" s="185"/>
    </row>
    <row r="135" spans="1:8" ht="18" customHeight="1">
      <c r="A135" s="63"/>
      <c r="E135" s="147"/>
      <c r="G135" s="185"/>
    </row>
    <row r="136" spans="1:8" s="4" customFormat="1" ht="18" customHeight="1" thickBot="1">
      <c r="A136" s="54"/>
      <c r="B136" s="75"/>
      <c r="C136" s="75"/>
      <c r="D136" s="75"/>
      <c r="E136" s="76"/>
      <c r="F136" s="75"/>
      <c r="G136" s="187"/>
      <c r="H136" s="129"/>
    </row>
    <row r="137" spans="1:8" s="13" customFormat="1" ht="18" customHeight="1">
      <c r="A137" s="64"/>
      <c r="B137" s="12"/>
      <c r="C137" s="12"/>
      <c r="D137" s="12"/>
      <c r="E137" s="148"/>
      <c r="F137" s="12"/>
      <c r="G137" s="197"/>
      <c r="H137" s="97"/>
    </row>
    <row r="138" spans="1:8" ht="18" customHeight="1">
      <c r="A138" s="64"/>
      <c r="B138" s="12"/>
      <c r="C138" s="12"/>
      <c r="E138" s="147"/>
      <c r="F138" s="12"/>
      <c r="G138" s="185"/>
    </row>
    <row r="139" spans="1:8" ht="18" customHeight="1">
      <c r="A139" s="73"/>
      <c r="B139" s="12"/>
      <c r="C139" s="12"/>
      <c r="E139" s="147"/>
      <c r="F139" s="12"/>
      <c r="G139" s="185"/>
    </row>
    <row r="140" spans="1:8" ht="18" customHeight="1">
      <c r="A140" s="73"/>
      <c r="B140" s="12"/>
      <c r="C140" s="12"/>
      <c r="E140" s="147"/>
      <c r="F140" s="12"/>
      <c r="G140" s="185"/>
    </row>
    <row r="141" spans="1:8" ht="18" customHeight="1">
      <c r="A141" s="13"/>
      <c r="B141" s="12"/>
      <c r="C141" s="12"/>
      <c r="E141" s="147"/>
      <c r="F141" s="12"/>
      <c r="G141" s="185"/>
    </row>
    <row r="142" spans="1:8" ht="18" customHeight="1">
      <c r="A142" s="73"/>
      <c r="B142" s="12"/>
      <c r="C142" s="12"/>
      <c r="E142" s="147"/>
      <c r="F142" s="12"/>
      <c r="G142" s="185"/>
    </row>
    <row r="143" spans="1:8" ht="18" customHeight="1">
      <c r="A143" s="73"/>
      <c r="B143" s="12"/>
      <c r="C143" s="12"/>
      <c r="E143" s="147"/>
      <c r="F143" s="12"/>
      <c r="G143" s="185"/>
    </row>
    <row r="144" spans="1:8" ht="18" customHeight="1">
      <c r="A144" s="73"/>
      <c r="B144" s="12"/>
      <c r="C144" s="12"/>
      <c r="E144" s="147"/>
      <c r="F144" s="12"/>
      <c r="G144" s="185"/>
    </row>
    <row r="145" spans="1:8" ht="18" customHeight="1">
      <c r="A145" s="73"/>
      <c r="E145" s="147"/>
      <c r="G145" s="185"/>
    </row>
    <row r="146" spans="1:8" ht="18" customHeight="1">
      <c r="A146" s="73"/>
      <c r="E146" s="147"/>
      <c r="G146" s="185"/>
    </row>
    <row r="147" spans="1:8" s="198" customFormat="1" ht="18" customHeight="1" thickBot="1">
      <c r="A147" s="191"/>
      <c r="B147" s="192"/>
      <c r="C147" s="192"/>
      <c r="D147" s="192"/>
      <c r="E147" s="193"/>
      <c r="F147" s="192"/>
      <c r="G147" s="194"/>
      <c r="H147" s="195"/>
    </row>
    <row r="148" spans="1:8" ht="18" customHeight="1">
      <c r="A148" s="59"/>
      <c r="E148" s="147"/>
      <c r="G148" s="185"/>
    </row>
    <row r="149" spans="1:8" ht="18" customHeight="1">
      <c r="A149" s="57"/>
      <c r="E149" s="147"/>
      <c r="G149" s="185"/>
    </row>
    <row r="150" spans="1:8" ht="18" customHeight="1">
      <c r="A150" s="57"/>
      <c r="E150" s="147"/>
      <c r="G150" s="185"/>
    </row>
    <row r="151" spans="1:8" ht="18" customHeight="1">
      <c r="A151" s="57"/>
      <c r="E151" s="147"/>
      <c r="G151" s="185"/>
    </row>
    <row r="152" spans="1:8" ht="18" customHeight="1">
      <c r="A152" s="57"/>
      <c r="E152" s="147"/>
      <c r="G152" s="185"/>
    </row>
    <row r="153" spans="1:8" ht="18" customHeight="1">
      <c r="A153" s="57"/>
      <c r="E153" s="147"/>
      <c r="G153" s="185"/>
    </row>
    <row r="154" spans="1:8" ht="18" customHeight="1">
      <c r="A154" s="57"/>
      <c r="E154" s="147"/>
      <c r="G154" s="185"/>
    </row>
    <row r="155" spans="1:8" s="4" customFormat="1" ht="18" customHeight="1" thickBot="1">
      <c r="A155" s="82"/>
      <c r="B155" s="75"/>
      <c r="C155" s="75"/>
      <c r="D155" s="75"/>
      <c r="E155" s="149"/>
      <c r="F155" s="75"/>
      <c r="G155" s="187"/>
      <c r="H155" s="129"/>
    </row>
    <row r="156" spans="1:8" s="13" customFormat="1" ht="18" customHeight="1">
      <c r="A156" s="85"/>
      <c r="B156" s="136"/>
      <c r="C156" s="136"/>
      <c r="D156" s="12"/>
      <c r="E156" s="148"/>
      <c r="F156" s="136"/>
      <c r="G156" s="197"/>
      <c r="H156" s="97"/>
    </row>
    <row r="157" spans="1:8" ht="18" customHeight="1">
      <c r="A157" s="64"/>
      <c r="E157" s="147"/>
      <c r="G157" s="185"/>
    </row>
    <row r="158" spans="1:8" ht="18" customHeight="1">
      <c r="A158" s="73"/>
      <c r="E158" s="147"/>
      <c r="G158" s="185"/>
    </row>
    <row r="159" spans="1:8" ht="18" customHeight="1">
      <c r="A159" s="83"/>
      <c r="E159" s="147"/>
      <c r="G159" s="185"/>
    </row>
    <row r="160" spans="1:8" ht="18" customHeight="1">
      <c r="A160" s="73"/>
      <c r="E160" s="147"/>
      <c r="G160" s="185"/>
    </row>
    <row r="161" spans="1:8" ht="18" customHeight="1">
      <c r="E161" s="147"/>
      <c r="G161" s="185"/>
    </row>
    <row r="162" spans="1:8" s="196" customFormat="1" ht="18" customHeight="1" thickBot="1">
      <c r="A162" s="191"/>
      <c r="B162" s="192"/>
      <c r="C162" s="192"/>
      <c r="D162" s="192"/>
      <c r="E162" s="193"/>
      <c r="F162" s="192"/>
      <c r="G162" s="194"/>
      <c r="H162" s="195"/>
    </row>
    <row r="163" spans="1:8" ht="18" customHeight="1">
      <c r="A163" s="53"/>
      <c r="B163" s="62"/>
      <c r="E163" s="147"/>
      <c r="F163" s="62"/>
      <c r="G163" s="185"/>
    </row>
    <row r="164" spans="1:8" ht="18" customHeight="1">
      <c r="A164" s="57"/>
      <c r="E164" s="147"/>
      <c r="G164" s="185"/>
    </row>
    <row r="165" spans="1:8" ht="18" customHeight="1">
      <c r="A165" s="57"/>
      <c r="E165" s="147"/>
      <c r="G165" s="185"/>
    </row>
    <row r="166" spans="1:8" ht="18" customHeight="1">
      <c r="A166" s="57"/>
      <c r="E166" s="147"/>
      <c r="G166" s="185"/>
    </row>
    <row r="167" spans="1:8" ht="18" customHeight="1">
      <c r="A167" s="57"/>
      <c r="E167" s="147"/>
      <c r="G167" s="185"/>
    </row>
    <row r="168" spans="1:8" ht="18" customHeight="1">
      <c r="A168" s="57"/>
      <c r="B168" s="62"/>
      <c r="E168" s="147"/>
      <c r="G168" s="185"/>
    </row>
    <row r="169" spans="1:8" ht="18" customHeight="1">
      <c r="A169" s="57"/>
      <c r="E169" s="147"/>
      <c r="G169" s="185"/>
    </row>
    <row r="170" spans="1:8" ht="18" customHeight="1">
      <c r="A170" s="57"/>
      <c r="E170" s="70"/>
      <c r="G170" s="185"/>
    </row>
    <row r="171" spans="1:8" ht="18" customHeight="1">
      <c r="A171" s="57"/>
      <c r="E171" s="70"/>
      <c r="G171" s="185"/>
    </row>
    <row r="172" spans="1:8" ht="18" customHeight="1">
      <c r="A172" s="59"/>
      <c r="E172" s="147"/>
      <c r="G172" s="185"/>
    </row>
    <row r="173" spans="1:8" ht="18" customHeight="1">
      <c r="A173" s="59"/>
      <c r="E173" s="147"/>
      <c r="G173" s="185"/>
    </row>
    <row r="174" spans="1:8" ht="18" customHeight="1">
      <c r="A174" s="57"/>
      <c r="E174" s="147"/>
      <c r="G174" s="185"/>
    </row>
    <row r="175" spans="1:8" ht="18" customHeight="1">
      <c r="A175" s="53"/>
      <c r="B175" s="69"/>
      <c r="E175" s="147"/>
      <c r="F175" s="69"/>
      <c r="G175" s="185"/>
    </row>
    <row r="176" spans="1:8" ht="18" customHeight="1">
      <c r="A176" s="53"/>
      <c r="B176" s="69"/>
      <c r="E176" s="147"/>
      <c r="F176" s="69"/>
      <c r="G176" s="185"/>
    </row>
    <row r="177" spans="1:8" ht="18" customHeight="1">
      <c r="A177" s="53"/>
      <c r="B177" s="69"/>
      <c r="E177" s="147"/>
      <c r="F177" s="69"/>
      <c r="G177" s="185"/>
    </row>
    <row r="178" spans="1:8" ht="18" customHeight="1">
      <c r="A178" s="53"/>
      <c r="B178" s="69"/>
      <c r="E178" s="147"/>
      <c r="F178" s="69"/>
      <c r="G178" s="185"/>
    </row>
    <row r="179" spans="1:8" ht="18" customHeight="1">
      <c r="A179" s="53"/>
      <c r="B179" s="69"/>
      <c r="E179" s="147"/>
      <c r="F179" s="69"/>
      <c r="G179" s="185"/>
    </row>
    <row r="180" spans="1:8" ht="18" customHeight="1">
      <c r="A180" s="63"/>
      <c r="B180" s="62"/>
      <c r="E180" s="147"/>
      <c r="F180" s="155"/>
      <c r="G180" s="185"/>
      <c r="H180" s="70"/>
    </row>
    <row r="181" spans="1:8" ht="18" customHeight="1">
      <c r="A181" s="53"/>
      <c r="B181" s="69"/>
      <c r="E181" s="147"/>
      <c r="F181" s="69"/>
      <c r="G181" s="185"/>
    </row>
    <row r="182" spans="1:8" ht="18" customHeight="1">
      <c r="A182" s="63"/>
      <c r="B182" s="155"/>
      <c r="E182" s="70"/>
      <c r="F182" s="69"/>
      <c r="G182" s="185"/>
      <c r="H182" s="70"/>
    </row>
    <row r="183" spans="1:8" ht="18" customHeight="1">
      <c r="A183" s="63"/>
      <c r="B183" s="155"/>
      <c r="E183" s="70"/>
      <c r="F183" s="69"/>
      <c r="G183" s="185"/>
      <c r="H183" s="70"/>
    </row>
    <row r="184" spans="1:8" s="4" customFormat="1" ht="18" customHeight="1" thickBot="1">
      <c r="A184" s="54"/>
      <c r="B184" s="156"/>
      <c r="C184" s="75"/>
      <c r="D184" s="75"/>
      <c r="E184" s="76"/>
      <c r="F184" s="75"/>
      <c r="G184" s="187"/>
      <c r="H184" s="76"/>
    </row>
    <row r="185" spans="1:8" s="115" customFormat="1" ht="18" customHeight="1">
      <c r="A185" s="116"/>
      <c r="B185" s="142"/>
      <c r="C185" s="142"/>
      <c r="D185" s="107"/>
      <c r="E185" s="150"/>
      <c r="F185" s="142"/>
      <c r="G185" s="188"/>
      <c r="H185" s="114"/>
    </row>
    <row r="186" spans="1:8" ht="18" customHeight="1">
      <c r="A186" s="64"/>
      <c r="B186" s="46"/>
      <c r="C186" s="46"/>
      <c r="E186" s="147"/>
      <c r="F186" s="46"/>
      <c r="G186" s="185"/>
    </row>
    <row r="187" spans="1:8" ht="18" customHeight="1">
      <c r="A187" s="73"/>
      <c r="B187" s="46"/>
      <c r="C187" s="46"/>
      <c r="E187" s="147"/>
      <c r="F187" s="46"/>
      <c r="G187" s="185"/>
    </row>
    <row r="188" spans="1:8" ht="18" customHeight="1">
      <c r="A188" s="63"/>
      <c r="B188" s="69"/>
      <c r="C188" s="69"/>
      <c r="E188" s="147"/>
      <c r="F188" s="69"/>
      <c r="G188" s="185"/>
    </row>
    <row r="189" spans="1:8" ht="18" customHeight="1">
      <c r="A189" s="63"/>
      <c r="B189" s="69"/>
      <c r="C189" s="69"/>
      <c r="E189" s="147"/>
      <c r="F189" s="69"/>
      <c r="G189" s="185"/>
    </row>
    <row r="190" spans="1:8" s="115" customFormat="1" ht="18" customHeight="1">
      <c r="A190" s="116"/>
      <c r="B190" s="132"/>
      <c r="C190" s="132"/>
      <c r="D190" s="132"/>
      <c r="E190" s="151"/>
      <c r="F190" s="132"/>
      <c r="G190" s="132"/>
      <c r="H190" s="135"/>
    </row>
    <row r="191" spans="1:8" ht="18" customHeight="1">
      <c r="E191" s="147"/>
      <c r="F191" s="243"/>
    </row>
    <row r="192" spans="1:8" ht="18" customHeight="1">
      <c r="C192" s="202"/>
      <c r="D192" s="202"/>
      <c r="E192" s="147"/>
    </row>
    <row r="193" spans="3:5" ht="18" customHeight="1">
      <c r="C193" s="207"/>
      <c r="D193" s="207"/>
      <c r="E193" s="147"/>
    </row>
    <row r="194" spans="3:5" ht="18" customHeight="1">
      <c r="C194" s="205"/>
      <c r="D194" s="205"/>
      <c r="E194" s="147"/>
    </row>
    <row r="195" spans="3:5" ht="18" customHeight="1">
      <c r="E195" s="147"/>
    </row>
    <row r="196" spans="3:5" ht="18" customHeight="1">
      <c r="E196" s="147"/>
    </row>
    <row r="197" spans="3:5" ht="18" customHeight="1">
      <c r="E197" s="147"/>
    </row>
    <row r="198" spans="3:5" ht="18" customHeight="1">
      <c r="E198" s="147"/>
    </row>
    <row r="199" spans="3:5" ht="18" customHeight="1">
      <c r="E199" s="147"/>
    </row>
    <row r="200" spans="3:5" ht="18" customHeight="1">
      <c r="E200" s="147"/>
    </row>
    <row r="201" spans="3:5" ht="18" customHeight="1">
      <c r="E201" s="147"/>
    </row>
    <row r="202" spans="3:5" ht="18" customHeight="1">
      <c r="E202" s="147"/>
    </row>
    <row r="203" spans="3:5" ht="18" customHeight="1">
      <c r="E203" s="147"/>
    </row>
    <row r="204" spans="3:5" ht="18" customHeight="1">
      <c r="E204" s="147"/>
    </row>
    <row r="205" spans="3:5" ht="18" customHeight="1">
      <c r="E205" s="147"/>
    </row>
    <row r="206" spans="3:5" ht="18" customHeight="1">
      <c r="E206" s="147"/>
    </row>
    <row r="207" spans="3:5" ht="18" customHeight="1">
      <c r="E207" s="147"/>
    </row>
    <row r="208" spans="3:5" ht="18" customHeight="1">
      <c r="E208" s="147"/>
    </row>
    <row r="209" spans="5:5" ht="18" customHeight="1">
      <c r="E209" s="147"/>
    </row>
    <row r="210" spans="5:5" ht="18" customHeight="1">
      <c r="E210" s="147"/>
    </row>
    <row r="211" spans="5:5" ht="18" customHeight="1">
      <c r="E211" s="147"/>
    </row>
    <row r="212" spans="5:5" ht="18" customHeight="1">
      <c r="E212" s="147"/>
    </row>
    <row r="213" spans="5:5" ht="18" customHeight="1">
      <c r="E213" s="147"/>
    </row>
    <row r="214" spans="5:5" ht="18" customHeight="1">
      <c r="E214" s="147"/>
    </row>
    <row r="215" spans="5:5" ht="18" customHeight="1">
      <c r="E215" s="147"/>
    </row>
    <row r="216" spans="5:5" ht="18" customHeight="1">
      <c r="E216" s="147"/>
    </row>
    <row r="217" spans="5:5" ht="18" customHeight="1">
      <c r="E217" s="147"/>
    </row>
    <row r="218" spans="5:5" ht="18" customHeight="1">
      <c r="E218" s="147"/>
    </row>
    <row r="219" spans="5:5" ht="18" customHeight="1">
      <c r="E219" s="147"/>
    </row>
    <row r="220" spans="5:5" ht="18" customHeight="1">
      <c r="E220" s="147"/>
    </row>
    <row r="221" spans="5:5" ht="18" customHeight="1">
      <c r="E221" s="147"/>
    </row>
    <row r="222" spans="5:5" ht="18" customHeight="1">
      <c r="E222" s="147"/>
    </row>
    <row r="223" spans="5:5" ht="18" customHeight="1">
      <c r="E223" s="147"/>
    </row>
    <row r="224" spans="5:5" ht="18" customHeight="1">
      <c r="E224" s="147"/>
    </row>
    <row r="225" spans="5:5" ht="18" customHeight="1">
      <c r="E225" s="147"/>
    </row>
    <row r="226" spans="5:5" ht="18" customHeight="1">
      <c r="E226" s="147"/>
    </row>
    <row r="227" spans="5:5" ht="18" customHeight="1">
      <c r="E227" s="147"/>
    </row>
    <row r="228" spans="5:5" ht="18" customHeight="1">
      <c r="E228" s="147"/>
    </row>
    <row r="229" spans="5:5">
      <c r="E229" s="147"/>
    </row>
    <row r="230" spans="5:5">
      <c r="E230" s="147"/>
    </row>
    <row r="231" spans="5:5">
      <c r="E231" s="147"/>
    </row>
    <row r="232" spans="5:5">
      <c r="E232" s="147"/>
    </row>
    <row r="233" spans="5:5">
      <c r="E233" s="147"/>
    </row>
    <row r="234" spans="5:5">
      <c r="E234" s="147"/>
    </row>
    <row r="235" spans="5:5">
      <c r="E235" s="147"/>
    </row>
    <row r="236" spans="5:5">
      <c r="E236" s="147"/>
    </row>
    <row r="237" spans="5:5">
      <c r="E237" s="147"/>
    </row>
    <row r="238" spans="5:5">
      <c r="E238" s="147"/>
    </row>
    <row r="239" spans="5:5">
      <c r="E239" s="147"/>
    </row>
    <row r="240" spans="5:5">
      <c r="E240" s="147"/>
    </row>
    <row r="241" spans="5:5">
      <c r="E241" s="147"/>
    </row>
    <row r="242" spans="5:5">
      <c r="E242" s="147"/>
    </row>
    <row r="243" spans="5:5">
      <c r="E243" s="147"/>
    </row>
    <row r="244" spans="5:5">
      <c r="E244" s="147"/>
    </row>
    <row r="245" spans="5:5">
      <c r="E245" s="147"/>
    </row>
    <row r="246" spans="5:5">
      <c r="E246" s="147"/>
    </row>
    <row r="247" spans="5:5">
      <c r="E247" s="147"/>
    </row>
    <row r="248" spans="5:5">
      <c r="E248" s="50"/>
    </row>
    <row r="249" spans="5:5">
      <c r="E249" s="50"/>
    </row>
    <row r="250" spans="5:5">
      <c r="E250" s="50"/>
    </row>
    <row r="251" spans="5:5">
      <c r="E251" s="50"/>
    </row>
    <row r="252" spans="5:5">
      <c r="E252" s="50"/>
    </row>
    <row r="253" spans="5:5">
      <c r="E253" s="50"/>
    </row>
    <row r="254" spans="5:5">
      <c r="E254" s="50"/>
    </row>
    <row r="255" spans="5:5">
      <c r="E255" s="50"/>
    </row>
    <row r="256" spans="5:5">
      <c r="E256" s="50"/>
    </row>
    <row r="257" spans="5:5">
      <c r="E257" s="50"/>
    </row>
    <row r="258" spans="5:5">
      <c r="E258" s="50"/>
    </row>
    <row r="259" spans="5:5">
      <c r="E259" s="50"/>
    </row>
    <row r="260" spans="5:5">
      <c r="E260" s="50"/>
    </row>
    <row r="261" spans="5:5">
      <c r="E261" s="50"/>
    </row>
    <row r="262" spans="5:5">
      <c r="E262" s="50"/>
    </row>
    <row r="263" spans="5:5">
      <c r="E263" s="50"/>
    </row>
    <row r="264" spans="5:5">
      <c r="E264" s="50"/>
    </row>
    <row r="265" spans="5:5">
      <c r="E265" s="50"/>
    </row>
    <row r="266" spans="5:5">
      <c r="E266" s="50"/>
    </row>
    <row r="267" spans="5:5">
      <c r="E267" s="50"/>
    </row>
    <row r="268" spans="5:5">
      <c r="E268" s="50"/>
    </row>
    <row r="269" spans="5:5">
      <c r="E269" s="50"/>
    </row>
    <row r="270" spans="5:5">
      <c r="E270" s="50"/>
    </row>
    <row r="271" spans="5:5">
      <c r="E271" s="50"/>
    </row>
    <row r="272" spans="5:5">
      <c r="E272" s="50"/>
    </row>
    <row r="273" spans="5:5">
      <c r="E273" s="50"/>
    </row>
    <row r="274" spans="5:5">
      <c r="E274" s="50"/>
    </row>
    <row r="275" spans="5:5">
      <c r="E275" s="50"/>
    </row>
    <row r="276" spans="5:5">
      <c r="E276" s="50"/>
    </row>
    <row r="277" spans="5:5">
      <c r="E277" s="50"/>
    </row>
    <row r="278" spans="5:5">
      <c r="E278" s="50"/>
    </row>
    <row r="279" spans="5:5">
      <c r="E279" s="50"/>
    </row>
    <row r="280" spans="5:5">
      <c r="E280" s="50"/>
    </row>
    <row r="281" spans="5:5">
      <c r="E281" s="50"/>
    </row>
    <row r="282" spans="5:5">
      <c r="E282" s="50"/>
    </row>
    <row r="283" spans="5:5">
      <c r="E283" s="50"/>
    </row>
    <row r="284" spans="5:5">
      <c r="E284" s="50"/>
    </row>
    <row r="285" spans="5:5">
      <c r="E285" s="50"/>
    </row>
    <row r="286" spans="5:5">
      <c r="E286" s="50"/>
    </row>
    <row r="287" spans="5:5">
      <c r="E287" s="50"/>
    </row>
    <row r="288" spans="5:5">
      <c r="E288" s="50"/>
    </row>
    <row r="289" spans="5:5">
      <c r="E289" s="50"/>
    </row>
    <row r="290" spans="5:5">
      <c r="E290" s="50"/>
    </row>
    <row r="291" spans="5:5">
      <c r="E291" s="50"/>
    </row>
    <row r="292" spans="5:5">
      <c r="E292" s="50"/>
    </row>
    <row r="293" spans="5:5">
      <c r="E293" s="50"/>
    </row>
    <row r="294" spans="5:5">
      <c r="E294" s="50"/>
    </row>
    <row r="295" spans="5:5">
      <c r="E295" s="50"/>
    </row>
    <row r="296" spans="5:5">
      <c r="E296" s="50"/>
    </row>
    <row r="297" spans="5:5">
      <c r="E297" s="50"/>
    </row>
    <row r="298" spans="5:5">
      <c r="E298" s="50"/>
    </row>
    <row r="299" spans="5:5">
      <c r="E299" s="50"/>
    </row>
    <row r="300" spans="5:5">
      <c r="E300" s="50"/>
    </row>
    <row r="301" spans="5:5">
      <c r="E301" s="50"/>
    </row>
    <row r="302" spans="5:5">
      <c r="E302" s="50"/>
    </row>
    <row r="303" spans="5:5">
      <c r="E303" s="50"/>
    </row>
    <row r="304" spans="5:5">
      <c r="E304" s="50"/>
    </row>
    <row r="305" spans="5:5">
      <c r="E305" s="50"/>
    </row>
    <row r="306" spans="5:5">
      <c r="E306" s="50"/>
    </row>
    <row r="307" spans="5:5">
      <c r="E307" s="50"/>
    </row>
    <row r="308" spans="5:5">
      <c r="E308" s="50"/>
    </row>
    <row r="309" spans="5:5">
      <c r="E309" s="50"/>
    </row>
    <row r="310" spans="5:5">
      <c r="E310" s="50"/>
    </row>
    <row r="311" spans="5:5">
      <c r="E311" s="50"/>
    </row>
    <row r="312" spans="5:5">
      <c r="E312" s="50"/>
    </row>
    <row r="313" spans="5:5">
      <c r="E313" s="50"/>
    </row>
    <row r="314" spans="5:5">
      <c r="E314" s="50"/>
    </row>
    <row r="315" spans="5:5">
      <c r="E315" s="50"/>
    </row>
    <row r="316" spans="5:5">
      <c r="E316" s="50"/>
    </row>
    <row r="317" spans="5:5">
      <c r="E317" s="50"/>
    </row>
    <row r="318" spans="5:5">
      <c r="E318" s="50"/>
    </row>
    <row r="319" spans="5:5">
      <c r="E319" s="50"/>
    </row>
    <row r="320" spans="5:5">
      <c r="E320" s="50"/>
    </row>
    <row r="321" spans="5:5">
      <c r="E321" s="50"/>
    </row>
    <row r="322" spans="5:5">
      <c r="E322" s="50"/>
    </row>
  </sheetData>
  <customSheetViews>
    <customSheetView guid="{7A9890A5-7CC2-466F-AA52-39E8D428DC1C}" scale="85" hiddenRows="1" state="hidden" topLeftCell="A7">
      <pane xSplit="1" ySplit="3" topLeftCell="F10" activePane="bottomRight" state="frozen"/>
      <selection pane="bottomRight" activeCell="M202" sqref="M202"/>
      <pageMargins left="0.7" right="0.7" top="0.75" bottom="0.75" header="0.3" footer="0.3"/>
      <pageSetup orientation="portrait" r:id="rId1"/>
    </customSheetView>
    <customSheetView guid="{567C3053-2D8E-4705-8DC7-18896C5303CA}" scale="85" showPageBreaks="1" hiddenRows="1" state="hidden" topLeftCell="A7">
      <pane xSplit="1" ySplit="3" topLeftCell="F10" activePane="bottomRight" state="frozen"/>
      <selection pane="bottomRight" activeCell="M202" sqref="M202"/>
      <pageMargins left="0.7" right="0.7" top="0.75" bottom="0.75" header="0.3" footer="0.3"/>
      <pageSetup orientation="portrait" r:id="rId2"/>
    </customSheetView>
    <customSheetView guid="{AEFEB150-9213-45F5-A178-7AC71E46DB11}" scale="85" hiddenRows="1" topLeftCell="A7">
      <pane xSplit="1" ySplit="3" topLeftCell="B10" activePane="bottomRight" state="frozen"/>
      <selection pane="bottomRight" activeCell="M204" sqref="M204"/>
      <pageMargins left="0.7" right="0.7" top="0.75" bottom="0.75" header="0.3" footer="0.3"/>
    </customSheetView>
    <customSheetView guid="{E81D05A4-5B21-42D3-A8D3-906ABCABC0F4}" scale="85" hiddenRows="1" topLeftCell="A7">
      <pane xSplit="1" ySplit="3" topLeftCell="B10" activePane="bottomRight" state="frozen"/>
      <selection pane="bottomRight" activeCell="A8" sqref="A8"/>
      <pageMargins left="0.7" right="0.7" top="0.75" bottom="0.75" header="0.3" footer="0.3"/>
    </customSheetView>
    <customSheetView guid="{A2518DB3-3A80-4035-9307-EC50A7C923F2}" scale="85" hiddenRows="1" topLeftCell="A7">
      <pane xSplit="1" ySplit="3" topLeftCell="B10" activePane="bottomRight" state="frozen"/>
      <selection pane="bottomRight" activeCell="M204" sqref="M204"/>
      <pageMargins left="0.7" right="0.7" top="0.75" bottom="0.75" header="0.3" footer="0.3"/>
    </customSheetView>
    <customSheetView guid="{50528D02-548E-47E0-94D7-D1E79CD3569C}" scale="85" hiddenRows="1" topLeftCell="A7">
      <pane xSplit="1" ySplit="3" topLeftCell="B10" activePane="bottomRight" state="frozen"/>
      <selection pane="bottomRight" activeCell="M204" sqref="M204"/>
      <pageMargins left="0.7" right="0.7" top="0.75" bottom="0.75" header="0.3" footer="0.3"/>
    </customSheetView>
    <customSheetView guid="{E44F5FE1-54FC-4AB3-84F9-7D65ACF2DDE7}" scale="85" hiddenRows="1" topLeftCell="A7">
      <pane xSplit="1" ySplit="3" topLeftCell="B10" activePane="bottomRight" state="frozen"/>
      <selection pane="bottomRight" activeCell="A31" sqref="A31"/>
      <pageMargins left="0.7" right="0.7" top="0.75" bottom="0.75" header="0.3" footer="0.3"/>
    </customSheetView>
    <customSheetView guid="{94DA13B6-7351-40F3-8CF7-A4211EC439DA}" scale="85" hiddenRows="1" topLeftCell="A7">
      <pane xSplit="1" ySplit="3" topLeftCell="B10" activePane="bottomRight" state="frozen"/>
      <selection pane="bottomRight" activeCell="M204" sqref="M204"/>
      <pageMargins left="0.7" right="0.7" top="0.75" bottom="0.75" header="0.3" footer="0.3"/>
    </customSheetView>
    <customSheetView guid="{8F508F4D-4777-42BE-9707-8CB9355F7BDB}" scale="85" hiddenRows="1" topLeftCell="A7">
      <pane xSplit="1" ySplit="3" topLeftCell="B10" activePane="bottomRight" state="frozen"/>
      <selection pane="bottomRight" activeCell="M204" sqref="M204"/>
      <pageMargins left="0.7" right="0.7" top="0.75" bottom="0.75" header="0.3" footer="0.3"/>
    </customSheetView>
    <customSheetView guid="{F784130D-F647-4ABA-8943-C79CA5B0FDC4}" scale="85" hiddenRows="1" topLeftCell="A7">
      <pane xSplit="1" ySplit="3" topLeftCell="B10" activePane="bottomRight" state="frozen"/>
      <selection pane="bottomRight" activeCell="M204" sqref="M204"/>
      <pageMargins left="0.7" right="0.7" top="0.75" bottom="0.75" header="0.3" footer="0.3"/>
    </customSheetView>
    <customSheetView guid="{1E5198E1-BA46-4CE0-8628-4F695B0D7A3B}" scale="85" hiddenRows="1" topLeftCell="A7">
      <pane xSplit="1" ySplit="3" topLeftCell="B10" activePane="bottomRight" state="frozen"/>
      <selection pane="bottomRight" activeCell="A31" sqref="A31"/>
      <pageMargins left="0.7" right="0.7" top="0.75" bottom="0.75" header="0.3" footer="0.3"/>
    </customSheetView>
    <customSheetView guid="{455630F5-40FC-47DB-8AD4-712C20B8FB91}" scale="85" hiddenRows="1" topLeftCell="A7">
      <pane xSplit="1" ySplit="3" topLeftCell="B10" activePane="bottomRight" state="frozen"/>
      <selection pane="bottomRight" activeCell="M204" sqref="M204"/>
      <pageMargins left="0.7" right="0.7" top="0.75" bottom="0.75" header="0.3" footer="0.3"/>
    </customSheetView>
    <customSheetView guid="{78CA186D-B240-44D5-8A24-D241DE0B0FD9}" scale="85" hiddenRows="1" topLeftCell="A7">
      <pane xSplit="1" ySplit="3" topLeftCell="B10" activePane="bottomRight" state="frozen"/>
      <selection pane="bottomRight" activeCell="A8" sqref="A8"/>
      <pageMargins left="0.7" right="0.7" top="0.75" bottom="0.75" header="0.3" footer="0.3"/>
    </customSheetView>
    <customSheetView guid="{9D4F0482-B164-4671-805A-E0D2D4DD4720}" scale="85" hiddenRows="1" topLeftCell="A7">
      <pane xSplit="1" ySplit="3" topLeftCell="B10" activePane="bottomRight" state="frozen"/>
      <selection pane="bottomRight" activeCell="M204" sqref="M204"/>
      <pageMargins left="0.7" right="0.7" top="0.75" bottom="0.75" header="0.3" footer="0.3"/>
    </customSheetView>
  </customSheetViews>
  <mergeCells count="2">
    <mergeCell ref="D7:E7"/>
    <mergeCell ref="G7:H7"/>
  </mergeCell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dimension ref="B1:I1"/>
  <sheetViews>
    <sheetView topLeftCell="A8" zoomScale="70" zoomScaleNormal="70" workbookViewId="0">
      <pane xSplit="1" ySplit="3" topLeftCell="B11" activePane="bottomRight" state="frozen"/>
      <selection activeCell="A8" sqref="A8"/>
      <selection pane="topRight" activeCell="B8" sqref="B8"/>
      <selection pane="bottomLeft" activeCell="A11" sqref="A11"/>
      <selection pane="bottomRight" activeCell="F21" sqref="F21"/>
    </sheetView>
  </sheetViews>
  <sheetFormatPr defaultColWidth="9.1796875" defaultRowHeight="18" customHeight="1"/>
  <cols>
    <col min="1" max="1" width="39" style="50" customWidth="1"/>
    <col min="2" max="2" width="13.26953125" style="92" customWidth="1"/>
    <col min="3" max="3" width="12.453125" style="92" customWidth="1"/>
    <col min="4" max="4" width="10.54296875" style="92" customWidth="1"/>
    <col min="5" max="5" width="8.7265625"/>
    <col min="6" max="6" width="11.453125" style="92" customWidth="1"/>
    <col min="7" max="7" width="9.1796875" style="50"/>
    <col min="8" max="8" width="14.26953125" style="152" customWidth="1"/>
    <col min="9" max="9" width="8.7265625" customWidth="1"/>
    <col min="10" max="16384" width="9.1796875" style="50"/>
  </cols>
  <sheetData/>
  <customSheetViews>
    <customSheetView guid="{7A9890A5-7CC2-466F-AA52-39E8D428DC1C}" scale="70" state="hidden" topLeftCell="A8">
      <pane xSplit="1" ySplit="3" topLeftCell="B11" activePane="bottomRight" state="frozen"/>
      <selection pane="bottomRight" activeCell="F21" sqref="F21"/>
      <pageMargins left="0.7" right="0.7" top="0.75" bottom="0.75" header="0.3" footer="0.3"/>
      <pageSetup orientation="portrait" r:id="rId1"/>
    </customSheetView>
    <customSheetView guid="{567C3053-2D8E-4705-8DC7-18896C5303CA}" scale="70" showPageBreaks="1" state="hidden" topLeftCell="A8">
      <pane xSplit="1" ySplit="3" topLeftCell="B11" activePane="bottomRight" state="frozen"/>
      <selection pane="bottomRight" activeCell="F21" sqref="F21"/>
      <pageMargins left="0.7" right="0.7" top="0.75" bottom="0.75" header="0.3" footer="0.3"/>
      <pageSetup orientation="portrait" r:id="rId2"/>
    </customSheetView>
    <customSheetView guid="{AEFEB150-9213-45F5-A178-7AC71E46DB11}" scale="70" topLeftCell="A8">
      <pane xSplit="1" ySplit="3" topLeftCell="B14" activePane="bottomRight" state="frozen"/>
      <selection pane="bottomRight" activeCell="F21" sqref="F21"/>
      <pageMargins left="0.7" right="0.7" top="0.75" bottom="0.75" header="0.3" footer="0.3"/>
      <pageSetup orientation="portrait" r:id="rId3"/>
    </customSheetView>
    <customSheetView guid="{E81D05A4-5B21-42D3-A8D3-906ABCABC0F4}" scale="70" topLeftCell="A8">
      <selection activeCell="I37" sqref="I37"/>
      <pageMargins left="0.7" right="0.7" top="0.75" bottom="0.75" header="0.3" footer="0.3"/>
      <pageSetup orientation="portrait" r:id="rId4"/>
    </customSheetView>
    <customSheetView guid="{A2518DB3-3A80-4035-9307-EC50A7C923F2}" scale="70" topLeftCell="A8">
      <pane xSplit="1" ySplit="3" topLeftCell="B14" activePane="bottomRight" state="frozen"/>
      <selection pane="bottomRight" activeCell="F21" sqref="F21"/>
      <pageMargins left="0.7" right="0.7" top="0.75" bottom="0.75" header="0.3" footer="0.3"/>
      <pageSetup orientation="portrait" r:id="rId5"/>
    </customSheetView>
    <customSheetView guid="{50528D02-548E-47E0-94D7-D1E79CD3569C}" scale="70" topLeftCell="A8">
      <pane xSplit="1" ySplit="3" topLeftCell="B14" activePane="bottomRight" state="frozen"/>
      <selection pane="bottomRight" activeCell="F21" sqref="F21"/>
      <pageMargins left="0.7" right="0.7" top="0.75" bottom="0.75" header="0.3" footer="0.3"/>
      <pageSetup orientation="portrait" r:id="rId6"/>
    </customSheetView>
    <customSheetView guid="{E44F5FE1-54FC-4AB3-84F9-7D65ACF2DDE7}" scale="70" hiddenRows="1" topLeftCell="A8">
      <pane xSplit="1" ySplit="3" topLeftCell="B14" activePane="bottomRight" state="frozen"/>
      <selection pane="bottomRight" activeCell="F21" sqref="F21"/>
      <pageMargins left="0.7" right="0.7" top="0.75" bottom="0.75" header="0.3" footer="0.3"/>
      <pageSetup orientation="portrait" r:id="rId7"/>
    </customSheetView>
    <customSheetView guid="{94DA13B6-7351-40F3-8CF7-A4211EC439DA}" scale="70" hiddenRows="1" topLeftCell="A8">
      <pane xSplit="1" ySplit="3" topLeftCell="B14" activePane="bottomRight" state="frozen"/>
      <selection pane="bottomRight" activeCell="F21" sqref="F21"/>
      <pageMargins left="0.7" right="0.7" top="0.75" bottom="0.75" header="0.3" footer="0.3"/>
      <pageSetup orientation="portrait" r:id="rId8"/>
    </customSheetView>
    <customSheetView guid="{8F508F4D-4777-42BE-9707-8CB9355F7BDB}" scale="70" hiddenRows="1" topLeftCell="A8">
      <pane xSplit="1" ySplit="3" topLeftCell="B14" activePane="bottomRight" state="frozen"/>
      <selection pane="bottomRight" activeCell="F21" sqref="F21"/>
      <pageMargins left="0.7" right="0.7" top="0.75" bottom="0.75" header="0.3" footer="0.3"/>
      <pageSetup orientation="portrait" r:id="rId9"/>
    </customSheetView>
    <customSheetView guid="{F784130D-F647-4ABA-8943-C79CA5B0FDC4}" scale="70" hiddenRows="1" topLeftCell="A8">
      <pane xSplit="1" ySplit="3" topLeftCell="B14" activePane="bottomRight" state="frozen"/>
      <selection pane="bottomRight" activeCell="F21" sqref="F21"/>
      <pageMargins left="0.7" right="0.7" top="0.75" bottom="0.75" header="0.3" footer="0.3"/>
      <pageSetup orientation="portrait" r:id="rId10"/>
    </customSheetView>
    <customSheetView guid="{1E5198E1-BA46-4CE0-8628-4F695B0D7A3B}" scale="70" hiddenRows="1" topLeftCell="A8">
      <pane xSplit="1" ySplit="3" topLeftCell="B14" activePane="bottomRight" state="frozen"/>
      <selection pane="bottomRight" activeCell="F21" sqref="F21"/>
      <pageMargins left="0.7" right="0.7" top="0.75" bottom="0.75" header="0.3" footer="0.3"/>
      <pageSetup orientation="portrait" r:id="rId11"/>
    </customSheetView>
    <customSheetView guid="{455630F5-40FC-47DB-8AD4-712C20B8FB91}" scale="70" topLeftCell="A8">
      <pane xSplit="1" ySplit="3" topLeftCell="B14" activePane="bottomRight" state="frozen"/>
      <selection pane="bottomRight" activeCell="F21" sqref="F21"/>
      <pageMargins left="0.7" right="0.7" top="0.75" bottom="0.75" header="0.3" footer="0.3"/>
      <pageSetup orientation="portrait" r:id="rId12"/>
    </customSheetView>
    <customSheetView guid="{78CA186D-B240-44D5-8A24-D241DE0B0FD9}" scale="70" topLeftCell="A8">
      <selection activeCell="I37" sqref="I37"/>
      <pageMargins left="0.7" right="0.7" top="0.75" bottom="0.75" header="0.3" footer="0.3"/>
      <pageSetup orientation="portrait" r:id="rId13"/>
    </customSheetView>
    <customSheetView guid="{9D4F0482-B164-4671-805A-E0D2D4DD4720}" scale="70" topLeftCell="A8">
      <pane xSplit="1" ySplit="3" topLeftCell="B14" activePane="bottomRight" state="frozen"/>
      <selection pane="bottomRight" activeCell="F21" sqref="F21"/>
      <pageMargins left="0.7" right="0.7" top="0.75" bottom="0.75" header="0.3" footer="0.3"/>
      <pageSetup orientation="portrait" r:id="rId14"/>
    </customSheetView>
  </customSheetViews>
  <pageMargins left="0.7" right="0.7" top="0.75" bottom="0.75" header="0.3" footer="0.3"/>
  <pageSetup orientation="portrait" r:id="rId15"/>
</worksheet>
</file>

<file path=xl/worksheets/sheet12.xml><?xml version="1.0" encoding="utf-8"?>
<worksheet xmlns="http://schemas.openxmlformats.org/spreadsheetml/2006/main" xmlns:r="http://schemas.openxmlformats.org/officeDocument/2006/relationships">
  <dimension ref="A1:H1"/>
  <sheetViews>
    <sheetView topLeftCell="A7" zoomScale="85" zoomScaleNormal="85" workbookViewId="0">
      <pane xSplit="1" ySplit="3" topLeftCell="J163" activePane="bottomRight" state="frozen"/>
      <selection activeCell="A7" sqref="A7"/>
      <selection pane="topRight" activeCell="B7" sqref="B7"/>
      <selection pane="bottomLeft" activeCell="A10" sqref="A10"/>
      <selection pane="bottomRight" activeCell="O172" sqref="O172"/>
    </sheetView>
  </sheetViews>
  <sheetFormatPr defaultRowHeight="12.5"/>
  <cols>
    <col min="1" max="1" width="42.7265625" style="50" customWidth="1"/>
    <col min="2" max="2" width="13.54296875" style="52" customWidth="1"/>
    <col min="3" max="3" width="11.7265625" style="52" customWidth="1"/>
    <col min="4" max="4" width="12.1796875" style="52" customWidth="1"/>
    <col min="5" max="5" width="9.54296875" customWidth="1"/>
    <col min="6" max="6" width="12.81640625" style="52" bestFit="1" customWidth="1"/>
    <col min="7" max="7" width="12.453125" style="52" customWidth="1"/>
    <col min="8" max="8" width="12.26953125" style="99" customWidth="1"/>
    <col min="9" max="9" width="24.1796875" customWidth="1"/>
    <col min="10" max="11" width="12" customWidth="1"/>
    <col min="12" max="12" width="14.26953125" customWidth="1"/>
  </cols>
  <sheetData/>
  <customSheetViews>
    <customSheetView guid="{7A9890A5-7CC2-466F-AA52-39E8D428DC1C}" scale="85" state="hidden" topLeftCell="A7">
      <pane xSplit="1" ySplit="3" topLeftCell="J163" activePane="bottomRight" state="frozen"/>
      <selection pane="bottomRight" activeCell="O172" sqref="O172"/>
      <pageMargins left="0.7" right="0.7" top="0.75" bottom="0.75" header="0.3" footer="0.3"/>
      <pageSetup orientation="portrait" r:id="rId1"/>
    </customSheetView>
    <customSheetView guid="{567C3053-2D8E-4705-8DC7-18896C5303CA}" scale="85" showPageBreaks="1" state="hidden" topLeftCell="A7">
      <pane xSplit="1" ySplit="3" topLeftCell="J163" activePane="bottomRight" state="frozen"/>
      <selection pane="bottomRight" activeCell="O172" sqref="O172"/>
      <pageMargins left="0.7" right="0.7" top="0.75" bottom="0.75" header="0.3" footer="0.3"/>
      <pageSetup orientation="portrait" r:id="rId2"/>
    </customSheetView>
    <customSheetView guid="{AEFEB150-9213-45F5-A178-7AC71E46DB11}" scale="85" topLeftCell="A7">
      <pane xSplit="1" ySplit="3" topLeftCell="B10" activePane="bottomRight" state="frozen"/>
      <selection pane="bottomRight" activeCell="K190" sqref="K190"/>
      <pageMargins left="0.7" right="0.7" top="0.75" bottom="0.75" header="0.3" footer="0.3"/>
      <pageSetup orientation="portrait" r:id="rId3"/>
    </customSheetView>
    <customSheetView guid="{E81D05A4-5B21-42D3-A8D3-906ABCABC0F4}" scale="85" topLeftCell="A7">
      <pane xSplit="1" ySplit="1" topLeftCell="B8" activePane="bottomRight" state="frozen"/>
      <selection pane="bottomRight" activeCell="I42" sqref="I42"/>
      <pageMargins left="0.7" right="0.7" top="0.75" bottom="0.75" header="0.3" footer="0.3"/>
      <pageSetup orientation="portrait" r:id="rId4"/>
    </customSheetView>
    <customSheetView guid="{A2518DB3-3A80-4035-9307-EC50A7C923F2}" scale="85" topLeftCell="A7">
      <pane xSplit="1" ySplit="3" topLeftCell="H181" activePane="bottomRight" state="frozen"/>
      <selection pane="bottomRight" activeCell="M194" sqref="M194"/>
      <pageMargins left="0.7" right="0.7" top="0.75" bottom="0.75" header="0.3" footer="0.3"/>
      <pageSetup orientation="portrait" r:id="rId5"/>
    </customSheetView>
    <customSheetView guid="{50528D02-548E-47E0-94D7-D1E79CD3569C}" scale="85" topLeftCell="A7">
      <pane xSplit="1" ySplit="3" topLeftCell="H181" activePane="bottomRight" state="frozen"/>
      <selection pane="bottomRight" activeCell="M194" sqref="M194"/>
      <pageMargins left="0.7" right="0.7" top="0.75" bottom="0.75" header="0.3" footer="0.3"/>
      <pageSetup orientation="portrait" r:id="rId6"/>
    </customSheetView>
    <customSheetView guid="{E44F5FE1-54FC-4AB3-84F9-7D65ACF2DDE7}" scale="85" hiddenRows="1" topLeftCell="A7">
      <pane xSplit="1" ySplit="3" topLeftCell="J10" activePane="bottomRight" state="frozen"/>
      <selection pane="bottomRight" activeCell="N10" sqref="N10"/>
      <pageMargins left="0.7" right="0.7" top="0.75" bottom="0.75" header="0.3" footer="0.3"/>
      <pageSetup orientation="portrait" r:id="rId7"/>
    </customSheetView>
    <customSheetView guid="{94DA13B6-7351-40F3-8CF7-A4211EC439DA}" scale="85" hiddenRows="1" topLeftCell="A7">
      <pane xSplit="1" ySplit="3" topLeftCell="B10" activePane="bottomRight" state="frozen"/>
      <selection pane="bottomRight" activeCell="K190" sqref="K190"/>
      <pageMargins left="0.7" right="0.7" top="0.75" bottom="0.75" header="0.3" footer="0.3"/>
      <pageSetup orientation="portrait" r:id="rId8"/>
    </customSheetView>
    <customSheetView guid="{8F508F4D-4777-42BE-9707-8CB9355F7BDB}" scale="85" hiddenRows="1" topLeftCell="A7">
      <pane xSplit="1" ySplit="3" topLeftCell="B10" activePane="bottomRight" state="frozen"/>
      <selection pane="bottomRight" activeCell="K190" sqref="K190"/>
      <pageMargins left="0.7" right="0.7" top="0.75" bottom="0.75" header="0.3" footer="0.3"/>
      <pageSetup orientation="portrait" r:id="rId9"/>
    </customSheetView>
    <customSheetView guid="{F784130D-F647-4ABA-8943-C79CA5B0FDC4}" scale="85" hiddenRows="1" topLeftCell="A7">
      <pane xSplit="1" ySplit="3" topLeftCell="B214" activePane="bottomRight" state="frozen"/>
      <selection pane="bottomRight" activeCell="M194" sqref="M194"/>
      <pageMargins left="0.7" right="0.7" top="0.75" bottom="0.75" header="0.3" footer="0.3"/>
      <pageSetup orientation="portrait" r:id="rId10"/>
    </customSheetView>
    <customSheetView guid="{1E5198E1-BA46-4CE0-8628-4F695B0D7A3B}" scale="85" hiddenRows="1" topLeftCell="A7">
      <pane xSplit="1" ySplit="3" topLeftCell="J10" activePane="bottomRight" state="frozen"/>
      <selection pane="bottomRight" activeCell="N10" sqref="N10"/>
      <pageMargins left="0.7" right="0.7" top="0.75" bottom="0.75" header="0.3" footer="0.3"/>
      <pageSetup orientation="portrait" r:id="rId11"/>
    </customSheetView>
    <customSheetView guid="{455630F5-40FC-47DB-8AD4-712C20B8FB91}" scale="85" topLeftCell="A7">
      <pane xSplit="1" ySplit="3" topLeftCell="H181" activePane="bottomRight" state="frozen"/>
      <selection pane="bottomRight" activeCell="M194" sqref="M194"/>
      <pageMargins left="0.7" right="0.7" top="0.75" bottom="0.75" header="0.3" footer="0.3"/>
      <pageSetup orientation="portrait" r:id="rId12"/>
    </customSheetView>
    <customSheetView guid="{78CA186D-B240-44D5-8A24-D241DE0B0FD9}" scale="85" topLeftCell="A7">
      <pane xSplit="1" ySplit="1" topLeftCell="B8" activePane="bottomRight" state="frozen"/>
      <selection pane="bottomRight" activeCell="I42" sqref="I42"/>
      <pageMargins left="0.7" right="0.7" top="0.75" bottom="0.75" header="0.3" footer="0.3"/>
      <pageSetup orientation="portrait" r:id="rId13"/>
    </customSheetView>
    <customSheetView guid="{9D4F0482-B164-4671-805A-E0D2D4DD4720}" scale="85" topLeftCell="A7">
      <pane xSplit="1" ySplit="3" topLeftCell="H181" activePane="bottomRight" state="frozen"/>
      <selection pane="bottomRight" activeCell="M194" sqref="M194"/>
      <pageMargins left="0.7" right="0.7" top="0.75" bottom="0.75" header="0.3" footer="0.3"/>
      <pageSetup orientation="portrait" r:id="rId14"/>
    </customSheetView>
  </customSheetView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dimension ref="A1:BV64"/>
  <sheetViews>
    <sheetView topLeftCell="A7" zoomScale="80" zoomScaleNormal="80" workbookViewId="0">
      <pane xSplit="1" ySplit="4" topLeftCell="AM11" activePane="bottomRight" state="frozen"/>
      <selection activeCell="A7" sqref="A7"/>
      <selection pane="topRight" activeCell="B7" sqref="B7"/>
      <selection pane="bottomLeft" activeCell="A11" sqref="A11"/>
      <selection pane="bottomRight" activeCell="AQ20" sqref="AQ20"/>
    </sheetView>
  </sheetViews>
  <sheetFormatPr defaultRowHeight="19.5" customHeight="1"/>
  <cols>
    <col min="1" max="1" width="67.81640625" customWidth="1"/>
    <col min="2" max="7" width="15.1796875" customWidth="1"/>
    <col min="8" max="11" width="14.7265625" customWidth="1"/>
    <col min="12" max="12" width="14" customWidth="1"/>
    <col min="13" max="16" width="13.7265625" customWidth="1"/>
    <col min="17" max="17" width="13.7265625" style="14" customWidth="1"/>
    <col min="18" max="18" width="13.26953125" customWidth="1"/>
    <col min="19" max="19" width="13.7265625" customWidth="1"/>
    <col min="20" max="20" width="11.54296875" style="14" customWidth="1"/>
    <col min="21" max="21" width="15.1796875" customWidth="1"/>
    <col min="22" max="22" width="13.7265625" customWidth="1"/>
    <col min="23" max="23" width="13.7265625" style="14" customWidth="1"/>
    <col min="24" max="24" width="12.453125" customWidth="1"/>
    <col min="25" max="25" width="13.54296875" customWidth="1"/>
    <col min="26" max="26" width="14" style="14" customWidth="1"/>
    <col min="27" max="27" width="15.1796875" hidden="1" customWidth="1"/>
    <col min="28" max="28" width="15.1796875" customWidth="1"/>
    <col min="29" max="29" width="15.453125" customWidth="1"/>
    <col min="30" max="30" width="14.453125" customWidth="1"/>
    <col min="31" max="32" width="15.1796875" customWidth="1"/>
    <col min="33" max="33" width="16.26953125" customWidth="1"/>
    <col min="34" max="34" width="15.1796875" customWidth="1"/>
    <col min="35" max="35" width="16.81640625" customWidth="1"/>
    <col min="36" max="36" width="14.54296875" customWidth="1"/>
    <col min="37" max="37" width="14.7265625" style="5" customWidth="1"/>
    <col min="38" max="38" width="15.26953125" style="5" customWidth="1"/>
    <col min="39" max="39" width="14.54296875" style="5" customWidth="1"/>
    <col min="40" max="41" width="18.1796875" style="5" customWidth="1"/>
    <col min="42" max="42" width="14.81640625" style="5" customWidth="1"/>
    <col min="43" max="43" width="9.54296875" style="5" bestFit="1" customWidth="1"/>
    <col min="44" max="74" width="9.1796875" style="5"/>
  </cols>
  <sheetData>
    <row r="1" spans="1:74" ht="19.5" customHeight="1">
      <c r="A1" s="2" t="s">
        <v>49</v>
      </c>
      <c r="B1" s="2"/>
      <c r="C1" s="2"/>
      <c r="D1" s="2"/>
      <c r="E1" s="2"/>
      <c r="F1" s="2"/>
      <c r="G1" s="2"/>
      <c r="H1" s="2"/>
      <c r="I1" s="2"/>
      <c r="J1" s="2"/>
      <c r="K1" s="2"/>
    </row>
    <row r="2" spans="1:74" ht="19.5" customHeight="1">
      <c r="A2" s="2" t="s">
        <v>137</v>
      </c>
      <c r="B2" s="2"/>
      <c r="C2" s="2"/>
      <c r="D2" s="2"/>
      <c r="E2" s="2"/>
      <c r="F2" s="2"/>
      <c r="G2" s="2"/>
      <c r="H2" s="2"/>
      <c r="I2" s="2"/>
      <c r="J2" s="2"/>
      <c r="K2" s="2"/>
    </row>
    <row r="4" spans="1:74" ht="19.5" customHeight="1">
      <c r="A4" s="1" t="s">
        <v>116</v>
      </c>
      <c r="B4" s="1"/>
      <c r="C4" s="1"/>
      <c r="D4" s="1"/>
      <c r="E4" s="1"/>
      <c r="F4" s="1"/>
      <c r="G4" s="1"/>
      <c r="H4" s="1"/>
      <c r="I4" s="1"/>
      <c r="J4" s="1"/>
      <c r="K4" s="1"/>
    </row>
    <row r="5" spans="1:74" ht="19.5" customHeight="1">
      <c r="A5" s="1" t="s">
        <v>77</v>
      </c>
      <c r="B5" s="1"/>
      <c r="C5" s="1"/>
      <c r="D5" s="1"/>
      <c r="E5" s="1"/>
      <c r="F5" s="1"/>
      <c r="G5" s="1"/>
      <c r="H5" s="1"/>
      <c r="I5" s="1"/>
      <c r="J5" s="1"/>
      <c r="K5" s="1"/>
    </row>
    <row r="6" spans="1:74" ht="19.5" customHeight="1">
      <c r="A6" s="23" t="s">
        <v>130</v>
      </c>
      <c r="B6" s="23"/>
      <c r="C6" s="23"/>
      <c r="D6" s="23"/>
      <c r="E6" s="23"/>
      <c r="F6" s="23"/>
      <c r="G6" s="23"/>
      <c r="H6" s="23"/>
      <c r="I6" s="23"/>
      <c r="J6" s="23"/>
      <c r="K6" s="23"/>
      <c r="L6" s="6"/>
      <c r="M6" s="6"/>
      <c r="N6" s="6"/>
      <c r="O6" s="6"/>
      <c r="P6" s="6"/>
      <c r="Q6" s="17"/>
    </row>
    <row r="7" spans="1:74" ht="24" customHeight="1">
      <c r="A7" s="2" t="s">
        <v>49</v>
      </c>
      <c r="B7" s="2"/>
      <c r="C7" s="2"/>
      <c r="D7" s="2"/>
      <c r="E7" s="2"/>
      <c r="F7" s="2"/>
      <c r="G7" s="2"/>
      <c r="H7" s="2"/>
      <c r="I7" s="2"/>
      <c r="J7" s="2"/>
      <c r="K7" s="2"/>
      <c r="L7" s="6"/>
      <c r="M7" s="6"/>
      <c r="N7" s="6"/>
      <c r="O7" s="6"/>
      <c r="P7" s="6"/>
      <c r="Q7" s="17"/>
    </row>
    <row r="8" spans="1:74" ht="27" customHeight="1" thickBot="1">
      <c r="A8" s="397" t="s">
        <v>424</v>
      </c>
      <c r="B8" s="397"/>
      <c r="C8" s="397"/>
      <c r="D8" s="397"/>
      <c r="E8" s="397"/>
      <c r="F8" s="397"/>
      <c r="G8" s="397"/>
      <c r="H8" s="397"/>
      <c r="I8" s="397"/>
      <c r="J8" s="2"/>
      <c r="K8" s="2"/>
      <c r="L8" s="4"/>
      <c r="M8" s="4"/>
      <c r="N8" s="4"/>
      <c r="O8" s="4"/>
      <c r="P8" s="4"/>
      <c r="Q8" s="16"/>
      <c r="R8" s="4"/>
      <c r="S8" s="6"/>
      <c r="U8" s="4"/>
      <c r="X8" s="4"/>
      <c r="AA8" s="4"/>
      <c r="AB8" s="6"/>
      <c r="AE8" s="6"/>
      <c r="AF8" s="6"/>
      <c r="AG8" s="6"/>
      <c r="AH8" s="6"/>
      <c r="AK8" s="423"/>
      <c r="AL8" s="423"/>
      <c r="AM8" s="423"/>
    </row>
    <row r="9" spans="1:74" ht="39" customHeight="1" thickBot="1">
      <c r="A9" s="399"/>
      <c r="B9" s="401" t="s">
        <v>365</v>
      </c>
      <c r="C9" s="403" t="s">
        <v>368</v>
      </c>
      <c r="D9" s="406" t="s">
        <v>380</v>
      </c>
      <c r="E9" s="406"/>
      <c r="F9" s="401" t="s">
        <v>367</v>
      </c>
      <c r="G9" s="411" t="s">
        <v>379</v>
      </c>
      <c r="H9" s="401"/>
      <c r="I9" s="403" t="s">
        <v>366</v>
      </c>
      <c r="J9" s="407" t="s">
        <v>378</v>
      </c>
      <c r="K9" s="407"/>
      <c r="L9" s="401" t="s">
        <v>47</v>
      </c>
      <c r="M9" s="695" t="s">
        <v>91</v>
      </c>
      <c r="N9" s="696"/>
      <c r="O9" s="403" t="s">
        <v>46</v>
      </c>
      <c r="P9" s="697" t="s">
        <v>92</v>
      </c>
      <c r="Q9" s="688"/>
      <c r="R9" s="401" t="s">
        <v>87</v>
      </c>
      <c r="S9" s="695" t="s">
        <v>100</v>
      </c>
      <c r="T9" s="696"/>
      <c r="U9" s="414" t="s">
        <v>95</v>
      </c>
      <c r="V9" s="697" t="s">
        <v>128</v>
      </c>
      <c r="W9" s="688"/>
      <c r="X9" s="416" t="s">
        <v>106</v>
      </c>
      <c r="Y9" s="698" t="s">
        <v>216</v>
      </c>
      <c r="Z9" s="699"/>
      <c r="AA9" s="21" t="s">
        <v>129</v>
      </c>
      <c r="AB9" s="395" t="s">
        <v>129</v>
      </c>
      <c r="AC9" s="687" t="s">
        <v>381</v>
      </c>
      <c r="AD9" s="688"/>
      <c r="AE9" s="691" t="s">
        <v>383</v>
      </c>
      <c r="AF9" s="689" t="s">
        <v>387</v>
      </c>
      <c r="AG9" s="690"/>
      <c r="AH9" s="693" t="s">
        <v>384</v>
      </c>
      <c r="AI9" s="687" t="s">
        <v>388</v>
      </c>
      <c r="AJ9" s="688"/>
      <c r="AK9" s="421" t="s">
        <v>385</v>
      </c>
      <c r="AL9" s="426" t="s">
        <v>389</v>
      </c>
      <c r="AM9" s="424"/>
      <c r="AN9" s="624" t="s">
        <v>438</v>
      </c>
      <c r="AO9" s="682" t="s">
        <v>488</v>
      </c>
      <c r="AP9" s="740" t="s">
        <v>489</v>
      </c>
      <c r="AQ9" s="623"/>
    </row>
    <row r="10" spans="1:74" ht="36" customHeight="1" thickBot="1">
      <c r="A10" s="400" t="s">
        <v>43</v>
      </c>
      <c r="B10" s="402" t="s">
        <v>76</v>
      </c>
      <c r="C10" s="404" t="s">
        <v>76</v>
      </c>
      <c r="D10" s="398" t="s">
        <v>89</v>
      </c>
      <c r="E10" s="398" t="s">
        <v>90</v>
      </c>
      <c r="F10" s="402" t="s">
        <v>76</v>
      </c>
      <c r="G10" s="405" t="s">
        <v>89</v>
      </c>
      <c r="H10" s="405" t="s">
        <v>90</v>
      </c>
      <c r="I10" s="404" t="s">
        <v>76</v>
      </c>
      <c r="J10" s="398" t="s">
        <v>89</v>
      </c>
      <c r="K10" s="398" t="s">
        <v>90</v>
      </c>
      <c r="L10" s="402" t="s">
        <v>76</v>
      </c>
      <c r="M10" s="405" t="s">
        <v>89</v>
      </c>
      <c r="N10" s="410" t="s">
        <v>90</v>
      </c>
      <c r="O10" s="404" t="s">
        <v>76</v>
      </c>
      <c r="P10" s="408" t="s">
        <v>89</v>
      </c>
      <c r="Q10" s="409" t="s">
        <v>90</v>
      </c>
      <c r="R10" s="402" t="s">
        <v>76</v>
      </c>
      <c r="S10" s="412" t="s">
        <v>89</v>
      </c>
      <c r="T10" s="413" t="s">
        <v>90</v>
      </c>
      <c r="U10" s="415" t="s">
        <v>76</v>
      </c>
      <c r="V10" s="408" t="s">
        <v>89</v>
      </c>
      <c r="W10" s="409" t="s">
        <v>90</v>
      </c>
      <c r="X10" s="417" t="s">
        <v>76</v>
      </c>
      <c r="Y10" s="418" t="s">
        <v>89</v>
      </c>
      <c r="Z10" s="413" t="s">
        <v>90</v>
      </c>
      <c r="AA10" s="21" t="s">
        <v>45</v>
      </c>
      <c r="AB10" s="396" t="s">
        <v>76</v>
      </c>
      <c r="AC10" s="419" t="s">
        <v>89</v>
      </c>
      <c r="AD10" s="409" t="s">
        <v>90</v>
      </c>
      <c r="AE10" s="692"/>
      <c r="AF10" s="405" t="s">
        <v>89</v>
      </c>
      <c r="AG10" s="422" t="s">
        <v>90</v>
      </c>
      <c r="AH10" s="694"/>
      <c r="AI10" s="420" t="s">
        <v>89</v>
      </c>
      <c r="AJ10" s="409" t="s">
        <v>90</v>
      </c>
      <c r="AK10" s="412" t="s">
        <v>392</v>
      </c>
      <c r="AL10" s="405" t="s">
        <v>89</v>
      </c>
      <c r="AM10" s="405" t="s">
        <v>90</v>
      </c>
      <c r="AN10" s="625"/>
      <c r="AO10" s="683"/>
      <c r="AP10" s="420" t="s">
        <v>89</v>
      </c>
      <c r="AQ10" s="409" t="s">
        <v>90</v>
      </c>
    </row>
    <row r="11" spans="1:74" s="5" customFormat="1" ht="19.5" customHeight="1" thickBot="1">
      <c r="A11" s="9" t="s">
        <v>0</v>
      </c>
      <c r="B11" s="18">
        <f>'FY 2013 by Agency'!B41</f>
        <v>204710</v>
      </c>
      <c r="C11" s="18">
        <f>'FY 2013 by Agency'!C41</f>
        <v>220083</v>
      </c>
      <c r="D11" s="491">
        <f>C11-B11</f>
        <v>15373</v>
      </c>
      <c r="E11" s="492">
        <f>D11/B11</f>
        <v>7.5096477944409171E-2</v>
      </c>
      <c r="F11" s="18">
        <f>'FY 2013 by Agency'!F41</f>
        <v>234498</v>
      </c>
      <c r="G11" s="491">
        <f>F11-C11</f>
        <v>14415</v>
      </c>
      <c r="H11" s="492">
        <f>G11/C11</f>
        <v>6.5498016657351998E-2</v>
      </c>
      <c r="I11" s="18">
        <f>'FY 2013 by Agency'!I41</f>
        <v>206864</v>
      </c>
      <c r="J11" s="491">
        <f>I11-F11</f>
        <v>-27634</v>
      </c>
      <c r="K11" s="492">
        <f>J11/F11</f>
        <v>-0.11784322254347585</v>
      </c>
      <c r="L11" s="18">
        <f>'FY 2013 by Agency'!L41</f>
        <v>231364</v>
      </c>
      <c r="M11" s="18">
        <f>'FY 2013 by Agency'!M41</f>
        <v>21501</v>
      </c>
      <c r="N11" s="42">
        <f>'FY 2013 by Agency'!N41</f>
        <v>0.10245255237940942</v>
      </c>
      <c r="O11" s="18">
        <f>'FY 2013 by Agency'!O41</f>
        <v>282412</v>
      </c>
      <c r="P11" s="18">
        <f>O11-L11</f>
        <v>51048</v>
      </c>
      <c r="Q11" s="42">
        <f>P11/L11</f>
        <v>0.220639338877267</v>
      </c>
      <c r="R11" s="18">
        <f>'FY 2013 by Agency'!R41</f>
        <v>333607</v>
      </c>
      <c r="S11" s="18">
        <f>R11-O11</f>
        <v>51195</v>
      </c>
      <c r="T11" s="42">
        <f>S11/O11</f>
        <v>0.18127770774612978</v>
      </c>
      <c r="U11" s="22">
        <f>'FY 2013 by Agency'!U41</f>
        <v>366258</v>
      </c>
      <c r="V11" s="22">
        <f>U11-R11</f>
        <v>32651</v>
      </c>
      <c r="W11" s="41">
        <f>V11/R11</f>
        <v>9.7872646557176562E-2</v>
      </c>
      <c r="X11" s="35">
        <f>'FY 2013 by Agency'!X41</f>
        <v>382069</v>
      </c>
      <c r="Y11" s="35">
        <f>X11-U11</f>
        <v>15811</v>
      </c>
      <c r="Z11" s="41">
        <f>Y11/U11</f>
        <v>4.3169022929191989E-2</v>
      </c>
      <c r="AA11" s="43" t="e">
        <f>'FY 2013 by Agency'!#REF!</f>
        <v>#REF!</v>
      </c>
      <c r="AB11" s="228">
        <f>'FY 2013 by Agency'!AA41</f>
        <v>405846</v>
      </c>
      <c r="AC11" s="35">
        <f t="shared" ref="AC11:AC18" si="0">AB11-X11</f>
        <v>23777</v>
      </c>
      <c r="AD11" s="42">
        <f t="shared" ref="AD11:AD18" si="1">AC11/X11</f>
        <v>6.2232214599980629E-2</v>
      </c>
      <c r="AE11" s="43">
        <f>'FY 2013 by Agency'!AF41</f>
        <v>349066</v>
      </c>
      <c r="AF11" s="35">
        <f t="shared" ref="AF11:AF18" si="2">AE11-AB11</f>
        <v>-56780</v>
      </c>
      <c r="AG11" s="42">
        <f t="shared" ref="AG11:AG18" si="3">AF11/AB11</f>
        <v>-0.13990528427038829</v>
      </c>
      <c r="AH11" s="43">
        <f>'FY 2013 by Agency'!AS41</f>
        <v>476840.01740999997</v>
      </c>
      <c r="AI11" s="35">
        <f>AH11-AE11</f>
        <v>127774.01740999997</v>
      </c>
      <c r="AJ11" s="500">
        <f>AI11/AE11</f>
        <v>0.36604543957303193</v>
      </c>
      <c r="AK11" s="43">
        <f>'FY 2013 by Agency'!BE41</f>
        <v>480445</v>
      </c>
      <c r="AL11" s="490">
        <f>AK11-AH11</f>
        <v>3604.9825900000287</v>
      </c>
      <c r="AM11" s="500">
        <f>AL11/AH11</f>
        <v>7.5601511164705096E-3</v>
      </c>
      <c r="AN11" s="43">
        <f>'FY 2013 by Agency'!BN41</f>
        <v>541241</v>
      </c>
      <c r="AO11" s="741">
        <f>'FY 2013 by Agency'!BO41</f>
        <v>541227</v>
      </c>
      <c r="AP11" s="745">
        <f>AO11-AK11</f>
        <v>60782</v>
      </c>
      <c r="AQ11" s="742">
        <f>AP11/AK11</f>
        <v>0.12651187961161006</v>
      </c>
    </row>
    <row r="12" spans="1:74" s="115" customFormat="1" ht="19.5" customHeight="1" thickBot="1">
      <c r="A12" s="229" t="s">
        <v>50</v>
      </c>
      <c r="B12" s="230">
        <f>'FY 2013 by Agency'!B74</f>
        <v>90495</v>
      </c>
      <c r="C12" s="230">
        <f>'FY 2013 by Agency'!C74</f>
        <v>107152</v>
      </c>
      <c r="D12" s="493">
        <f t="shared" ref="D12:D18" si="4">C12-B12</f>
        <v>16657</v>
      </c>
      <c r="E12" s="494">
        <f t="shared" ref="E12:E18" si="5">D12/B12</f>
        <v>0.18406541797889386</v>
      </c>
      <c r="F12" s="230">
        <f>'FY 2013 by Agency'!F74</f>
        <v>114224</v>
      </c>
      <c r="G12" s="493">
        <f t="shared" ref="G12:G18" si="6">F12-C12</f>
        <v>7072</v>
      </c>
      <c r="H12" s="494">
        <f t="shared" ref="H12:H18" si="7">G12/C12</f>
        <v>6.5999701358817386E-2</v>
      </c>
      <c r="I12" s="230">
        <f>'FY 2013 by Agency'!I74</f>
        <v>134944</v>
      </c>
      <c r="J12" s="493">
        <f t="shared" ref="J12:J18" si="8">I12-F12</f>
        <v>20720</v>
      </c>
      <c r="K12" s="494">
        <f t="shared" ref="K12:K18" si="9">J12/F12</f>
        <v>0.18139795489564364</v>
      </c>
      <c r="L12" s="230">
        <f>'FY 2013 by Agency'!L74</f>
        <v>151305</v>
      </c>
      <c r="M12" s="230">
        <f>'FY 2013 by Agency'!M74</f>
        <v>5290</v>
      </c>
      <c r="N12" s="231">
        <f>'FY 2013 by Agency'!N74</f>
        <v>3.6575332047319768E-2</v>
      </c>
      <c r="O12" s="230">
        <f>'FY 2013 by Agency'!O74</f>
        <v>197591</v>
      </c>
      <c r="P12" s="230">
        <f t="shared" ref="P12:P18" si="10">O12-L12</f>
        <v>46286</v>
      </c>
      <c r="Q12" s="231">
        <f t="shared" ref="Q12:Q18" si="11">P12/L12</f>
        <v>0.30591189980502959</v>
      </c>
      <c r="R12" s="232">
        <f>'FY 2013 by Agency'!R74</f>
        <v>251763</v>
      </c>
      <c r="S12" s="230">
        <f t="shared" ref="S12:S18" si="12">R12-O12</f>
        <v>54172</v>
      </c>
      <c r="T12" s="231">
        <f t="shared" ref="T12:T18" si="13">S12/O12</f>
        <v>0.2741622847194457</v>
      </c>
      <c r="U12" s="233">
        <f>'FY 2013 by Agency'!U74</f>
        <v>373310</v>
      </c>
      <c r="V12" s="233">
        <f t="shared" ref="V12:V18" si="14">U12-R12</f>
        <v>121547</v>
      </c>
      <c r="W12" s="234">
        <f t="shared" ref="W12:W17" si="15">V12/R12</f>
        <v>0.48278341138292757</v>
      </c>
      <c r="X12" s="235">
        <f>'FY 2013 by Agency'!X74</f>
        <v>403260</v>
      </c>
      <c r="Y12" s="235">
        <f t="shared" ref="Y12:Y18" si="16">X12-U12</f>
        <v>29950</v>
      </c>
      <c r="Z12" s="234">
        <f t="shared" ref="Z12:Z18" si="17">Y12/U12</f>
        <v>8.0228228549998656E-2</v>
      </c>
      <c r="AA12" s="236" t="e">
        <f>'FY 2013 by Agency'!#REF!</f>
        <v>#REF!</v>
      </c>
      <c r="AB12" s="236">
        <f>'FY 2013 by Agency'!AA74</f>
        <v>391021</v>
      </c>
      <c r="AC12" s="235">
        <f t="shared" si="0"/>
        <v>-12239</v>
      </c>
      <c r="AD12" s="231">
        <f t="shared" si="1"/>
        <v>-3.0350146307593116E-2</v>
      </c>
      <c r="AE12" s="236">
        <f>'FY 2013 by Agency'!AF74</f>
        <v>265865</v>
      </c>
      <c r="AF12" s="235">
        <f t="shared" si="2"/>
        <v>-125156</v>
      </c>
      <c r="AG12" s="231">
        <f t="shared" si="3"/>
        <v>-0.32007488088875025</v>
      </c>
      <c r="AH12" s="236">
        <f>'FY 2013 by Agency'!AS74</f>
        <v>277041.65783000004</v>
      </c>
      <c r="AI12" s="235">
        <f t="shared" ref="AI12:AI18" si="18">AH12-AE12</f>
        <v>11176.65783000004</v>
      </c>
      <c r="AJ12" s="501">
        <f t="shared" ref="AJ12:AJ18" si="19">AI12/AE12</f>
        <v>4.2038846143719708E-2</v>
      </c>
      <c r="AK12" s="236">
        <f>'FY 2013 by Agency'!BE74</f>
        <v>268666</v>
      </c>
      <c r="AL12" s="508">
        <f t="shared" ref="AL12:AL18" si="20">AK12-AH12</f>
        <v>-8375.6578300000401</v>
      </c>
      <c r="AM12" s="501">
        <f t="shared" ref="AM12:AM18" si="21">AL12/AH12</f>
        <v>-3.023248523563038E-2</v>
      </c>
      <c r="AN12" s="236">
        <f>'FY 2013 by Agency'!BN74</f>
        <v>297349</v>
      </c>
      <c r="AO12" s="743">
        <f>'FY 2013 by Agency'!BO74</f>
        <v>291790</v>
      </c>
      <c r="AP12" s="756">
        <f t="shared" ref="AP12:AP18" si="22">AO12-AK12</f>
        <v>23124</v>
      </c>
      <c r="AQ12" s="757">
        <f t="shared" ref="AQ12:AQ18" si="23">AP12/AK12</f>
        <v>8.60696924806265E-2</v>
      </c>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s="5" customFormat="1" ht="19.5" customHeight="1" thickBot="1">
      <c r="A13" s="9" t="s">
        <v>51</v>
      </c>
      <c r="B13" s="18">
        <f>'FY 2013 by Agency'!B109</f>
        <v>706747</v>
      </c>
      <c r="C13" s="18">
        <f>'FY 2013 by Agency'!C109</f>
        <v>717389</v>
      </c>
      <c r="D13" s="491">
        <f t="shared" si="4"/>
        <v>10642</v>
      </c>
      <c r="E13" s="492">
        <f t="shared" si="5"/>
        <v>1.5057722211767436E-2</v>
      </c>
      <c r="F13" s="18">
        <f>'FY 2013 by Agency'!F109</f>
        <v>636160</v>
      </c>
      <c r="G13" s="491">
        <f t="shared" si="6"/>
        <v>-81229</v>
      </c>
      <c r="H13" s="492">
        <f t="shared" si="7"/>
        <v>-0.11322866673450527</v>
      </c>
      <c r="I13" s="18">
        <f>'FY 2013 by Agency'!I109</f>
        <v>659479</v>
      </c>
      <c r="J13" s="491">
        <f t="shared" si="8"/>
        <v>23319</v>
      </c>
      <c r="K13" s="492">
        <f t="shared" si="9"/>
        <v>3.6655872736418509E-2</v>
      </c>
      <c r="L13" s="18">
        <f>'FY 2013 by Agency'!L109</f>
        <v>746064</v>
      </c>
      <c r="M13" s="18">
        <f>'FY 2013 by Agency'!M109</f>
        <v>86583</v>
      </c>
      <c r="N13" s="42">
        <f>'FY 2013 by Agency'!N109</f>
        <v>0.13128960500757414</v>
      </c>
      <c r="O13" s="18">
        <f>'FY 2013 by Agency'!O109</f>
        <v>805467</v>
      </c>
      <c r="P13" s="18">
        <f t="shared" si="10"/>
        <v>59403</v>
      </c>
      <c r="Q13" s="42">
        <f t="shared" si="11"/>
        <v>7.9621855497651675E-2</v>
      </c>
      <c r="R13" s="19">
        <f>'FY 2013 by Agency'!R109</f>
        <v>894748</v>
      </c>
      <c r="S13" s="18">
        <f t="shared" si="12"/>
        <v>89281</v>
      </c>
      <c r="T13" s="42">
        <f t="shared" si="13"/>
        <v>0.11084377137735003</v>
      </c>
      <c r="U13" s="22">
        <f>'FY 2013 by Agency'!U109</f>
        <v>961430</v>
      </c>
      <c r="V13" s="22">
        <f t="shared" si="14"/>
        <v>66682</v>
      </c>
      <c r="W13" s="41">
        <f t="shared" si="15"/>
        <v>7.4526011793264693E-2</v>
      </c>
      <c r="X13" s="35">
        <f>'FY 2013 by Agency'!X109</f>
        <v>1044461</v>
      </c>
      <c r="Y13" s="35">
        <f t="shared" si="16"/>
        <v>83031</v>
      </c>
      <c r="Z13" s="41">
        <f t="shared" si="17"/>
        <v>8.6361981631528043E-2</v>
      </c>
      <c r="AA13" s="43" t="e">
        <f>'FY 2013 by Agency'!#REF!</f>
        <v>#REF!</v>
      </c>
      <c r="AB13" s="43">
        <f>'FY 2013 by Agency'!AA109</f>
        <v>1013227</v>
      </c>
      <c r="AC13" s="35">
        <f t="shared" si="0"/>
        <v>-31234</v>
      </c>
      <c r="AD13" s="42">
        <f t="shared" si="1"/>
        <v>-2.9904419600157401E-2</v>
      </c>
      <c r="AE13" s="43">
        <f>'FY 2013 by Agency'!AF109</f>
        <v>1006117</v>
      </c>
      <c r="AF13" s="35">
        <f t="shared" si="2"/>
        <v>-7110</v>
      </c>
      <c r="AG13" s="42">
        <f t="shared" si="3"/>
        <v>-7.01718371105389E-3</v>
      </c>
      <c r="AH13" s="43">
        <f>'FY 2013 by Agency'!AS109</f>
        <v>1031119.9855300003</v>
      </c>
      <c r="AI13" s="35">
        <f t="shared" si="18"/>
        <v>25002.985530000296</v>
      </c>
      <c r="AJ13" s="500">
        <f t="shared" si="19"/>
        <v>2.4850972133459923E-2</v>
      </c>
      <c r="AK13" s="43">
        <f>'FY 2013 by Agency'!BE109</f>
        <v>973334</v>
      </c>
      <c r="AL13" s="490">
        <f t="shared" si="20"/>
        <v>-57785.985530000296</v>
      </c>
      <c r="AM13" s="500">
        <f t="shared" si="21"/>
        <v>-5.6041960529256973E-2</v>
      </c>
      <c r="AN13" s="43">
        <f>'FY 2013 by Agency'!BN109</f>
        <v>994221</v>
      </c>
      <c r="AO13" s="744">
        <f>'FY 2013 by Agency'!BO109</f>
        <v>995575</v>
      </c>
      <c r="AP13" s="745">
        <f t="shared" si="22"/>
        <v>22241</v>
      </c>
      <c r="AQ13" s="742">
        <f t="shared" si="23"/>
        <v>2.2850326814844647E-2</v>
      </c>
    </row>
    <row r="14" spans="1:74" s="115" customFormat="1" ht="19.5" customHeight="1" thickBot="1">
      <c r="A14" s="229" t="s">
        <v>52</v>
      </c>
      <c r="B14" s="230">
        <f>'FY 2013 by Agency'!B133</f>
        <v>759641</v>
      </c>
      <c r="C14" s="230">
        <f>'FY 2013 by Agency'!C133</f>
        <v>980005</v>
      </c>
      <c r="D14" s="493">
        <f t="shared" si="4"/>
        <v>220364</v>
      </c>
      <c r="E14" s="494">
        <f t="shared" si="5"/>
        <v>0.29008966077397086</v>
      </c>
      <c r="F14" s="230">
        <f>'FY 2013 by Agency'!F133</f>
        <v>955185</v>
      </c>
      <c r="G14" s="493">
        <f t="shared" si="6"/>
        <v>-24820</v>
      </c>
      <c r="H14" s="494">
        <f t="shared" si="7"/>
        <v>-2.5326401395911247E-2</v>
      </c>
      <c r="I14" s="230">
        <f>'FY 2013 by Agency'!I133</f>
        <v>938612</v>
      </c>
      <c r="J14" s="493">
        <f t="shared" si="8"/>
        <v>-16573</v>
      </c>
      <c r="K14" s="494">
        <f t="shared" si="9"/>
        <v>-1.7350565597240325E-2</v>
      </c>
      <c r="L14" s="230">
        <f>'FY 2013 by Agency'!L133</f>
        <v>1050028</v>
      </c>
      <c r="M14" s="230">
        <f>'FY 2013 by Agency'!M133</f>
        <v>126895</v>
      </c>
      <c r="N14" s="231">
        <f>'FY 2013 by Agency'!N133</f>
        <v>0.13872733156373401</v>
      </c>
      <c r="O14" s="230">
        <f>'FY 2013 by Agency'!O133</f>
        <v>1145955</v>
      </c>
      <c r="P14" s="230">
        <f t="shared" si="10"/>
        <v>95927</v>
      </c>
      <c r="Q14" s="231">
        <f t="shared" si="11"/>
        <v>9.1356611442742486E-2</v>
      </c>
      <c r="R14" s="232">
        <f>'FY 2013 by Agency'!R133</f>
        <v>1225569</v>
      </c>
      <c r="S14" s="230">
        <f t="shared" si="12"/>
        <v>79614</v>
      </c>
      <c r="T14" s="231">
        <f t="shared" si="13"/>
        <v>6.9473932222469476E-2</v>
      </c>
      <c r="U14" s="233">
        <f>'FY 2013 by Agency'!U133</f>
        <v>1285587</v>
      </c>
      <c r="V14" s="233">
        <f t="shared" si="14"/>
        <v>60018</v>
      </c>
      <c r="W14" s="234">
        <f t="shared" si="15"/>
        <v>4.8971538934160376E-2</v>
      </c>
      <c r="X14" s="235">
        <f>'FY 2013 by Agency'!X133</f>
        <v>1447463</v>
      </c>
      <c r="Y14" s="235">
        <f t="shared" si="16"/>
        <v>161876</v>
      </c>
      <c r="Z14" s="234">
        <f t="shared" si="17"/>
        <v>0.12591602124165849</v>
      </c>
      <c r="AA14" s="236" t="e">
        <f>'FY 2013 by Agency'!#REF!</f>
        <v>#REF!</v>
      </c>
      <c r="AB14" s="236">
        <f>'FY 2013 by Agency'!AA133</f>
        <v>1431098</v>
      </c>
      <c r="AC14" s="235">
        <f t="shared" si="0"/>
        <v>-16365</v>
      </c>
      <c r="AD14" s="231">
        <f t="shared" si="1"/>
        <v>-1.1305988477771107E-2</v>
      </c>
      <c r="AE14" s="236">
        <f>'FY 2013 by Agency'!AF133</f>
        <v>1406984</v>
      </c>
      <c r="AF14" s="235">
        <f t="shared" si="2"/>
        <v>-24114</v>
      </c>
      <c r="AG14" s="231">
        <f t="shared" si="3"/>
        <v>-1.6849999091606584E-2</v>
      </c>
      <c r="AH14" s="236">
        <f>'FY 2013 by Agency'!AS133</f>
        <v>1502121.8110200004</v>
      </c>
      <c r="AI14" s="235">
        <f t="shared" si="18"/>
        <v>95137.811020000372</v>
      </c>
      <c r="AJ14" s="501">
        <f t="shared" si="19"/>
        <v>6.7618260776242209E-2</v>
      </c>
      <c r="AK14" s="236">
        <f>'FY 2013 by Agency'!BE133</f>
        <v>1603564</v>
      </c>
      <c r="AL14" s="508">
        <f t="shared" si="20"/>
        <v>101442.18897999963</v>
      </c>
      <c r="AM14" s="501">
        <f t="shared" si="21"/>
        <v>6.7532598379033151E-2</v>
      </c>
      <c r="AN14" s="236">
        <f>'FY 2013 by Agency'!BN133</f>
        <v>1661274</v>
      </c>
      <c r="AO14" s="743">
        <f>'FY 2013 by Agency'!BO133</f>
        <v>1667784</v>
      </c>
      <c r="AP14" s="756">
        <f t="shared" si="22"/>
        <v>64220</v>
      </c>
      <c r="AQ14" s="757">
        <f t="shared" si="23"/>
        <v>4.0048292428615261E-2</v>
      </c>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s="5" customFormat="1" ht="19.5" customHeight="1" thickBot="1">
      <c r="A15" s="9" t="s">
        <v>53</v>
      </c>
      <c r="B15" s="18">
        <f>'FY 2013 by Agency'!B166</f>
        <v>790990</v>
      </c>
      <c r="C15" s="18">
        <f>'FY 2013 by Agency'!C166</f>
        <v>933649</v>
      </c>
      <c r="D15" s="491">
        <f t="shared" si="4"/>
        <v>142659</v>
      </c>
      <c r="E15" s="492">
        <f t="shared" si="5"/>
        <v>0.18035499816685419</v>
      </c>
      <c r="F15" s="18">
        <f>'FY 2013 by Agency'!F166</f>
        <v>1043924</v>
      </c>
      <c r="G15" s="491">
        <f t="shared" si="6"/>
        <v>110275</v>
      </c>
      <c r="H15" s="492">
        <f t="shared" si="7"/>
        <v>0.11811183860315815</v>
      </c>
      <c r="I15" s="18">
        <f>'FY 2013 by Agency'!I166</f>
        <v>1064742</v>
      </c>
      <c r="J15" s="491">
        <f t="shared" si="8"/>
        <v>20818</v>
      </c>
      <c r="K15" s="492">
        <f t="shared" si="9"/>
        <v>1.9942064748008477E-2</v>
      </c>
      <c r="L15" s="18">
        <f>'FY 2013 by Agency'!L166</f>
        <v>1091868</v>
      </c>
      <c r="M15" s="18">
        <f>'FY 2013 by Agency'!M166</f>
        <v>-244746</v>
      </c>
      <c r="N15" s="42">
        <f>'FY 2013 by Agency'!N166</f>
        <v>-0.17972453781216405</v>
      </c>
      <c r="O15" s="18">
        <f>'FY 2013 by Agency'!O166</f>
        <v>1183582</v>
      </c>
      <c r="P15" s="18">
        <f t="shared" si="10"/>
        <v>91714</v>
      </c>
      <c r="Q15" s="42">
        <f t="shared" si="11"/>
        <v>8.399733301095004E-2</v>
      </c>
      <c r="R15" s="19">
        <f>'FY 2013 by Agency'!R166</f>
        <v>1263548</v>
      </c>
      <c r="S15" s="18">
        <f t="shared" si="12"/>
        <v>79966</v>
      </c>
      <c r="T15" s="42">
        <f t="shared" si="13"/>
        <v>6.756270372479474E-2</v>
      </c>
      <c r="U15" s="22">
        <f>'FY 2013 by Agency'!U166</f>
        <v>1467789</v>
      </c>
      <c r="V15" s="22">
        <f t="shared" si="14"/>
        <v>204241</v>
      </c>
      <c r="W15" s="41">
        <f t="shared" si="15"/>
        <v>0.16164087157749449</v>
      </c>
      <c r="X15" s="35">
        <f>'FY 2013 by Agency'!X166</f>
        <v>1606978</v>
      </c>
      <c r="Y15" s="35">
        <f t="shared" si="16"/>
        <v>139189</v>
      </c>
      <c r="Z15" s="41">
        <f t="shared" si="17"/>
        <v>9.4829025152797841E-2</v>
      </c>
      <c r="AA15" s="43" t="e">
        <f>'FY 2013 by Agency'!#REF!</f>
        <v>#REF!</v>
      </c>
      <c r="AB15" s="43">
        <f>'FY 2013 by Agency'!AA166</f>
        <v>1445377</v>
      </c>
      <c r="AC15" s="35">
        <f t="shared" si="0"/>
        <v>-161601</v>
      </c>
      <c r="AD15" s="42">
        <f t="shared" si="1"/>
        <v>-0.10056204876482441</v>
      </c>
      <c r="AE15" s="43">
        <f>'FY 2013 by Agency'!AF166</f>
        <v>1471128</v>
      </c>
      <c r="AF15" s="35">
        <f t="shared" si="2"/>
        <v>25751</v>
      </c>
      <c r="AG15" s="42">
        <f t="shared" si="3"/>
        <v>1.7816113027950494E-2</v>
      </c>
      <c r="AH15" s="43">
        <f>'FY 2013 by Agency'!AS166</f>
        <v>1477284.8808900001</v>
      </c>
      <c r="AI15" s="35">
        <f t="shared" si="18"/>
        <v>6156.8808900001459</v>
      </c>
      <c r="AJ15" s="500">
        <f t="shared" si="19"/>
        <v>4.1851428903536235E-3</v>
      </c>
      <c r="AK15" s="43">
        <f>'FY 2013 by Agency'!BE166</f>
        <v>1586516</v>
      </c>
      <c r="AL15" s="490">
        <f t="shared" si="20"/>
        <v>109231.11910999985</v>
      </c>
      <c r="AM15" s="500">
        <f t="shared" si="21"/>
        <v>7.3940456930820839E-2</v>
      </c>
      <c r="AN15" s="43">
        <f>'FY 2013 by Agency'!BN166</f>
        <v>1646039</v>
      </c>
      <c r="AO15" s="744">
        <f>'FY 2013 by Agency'!BO166</f>
        <v>1653665</v>
      </c>
      <c r="AP15" s="745">
        <f t="shared" si="22"/>
        <v>67149</v>
      </c>
      <c r="AQ15" s="742">
        <f t="shared" si="23"/>
        <v>4.2324817398626931E-2</v>
      </c>
    </row>
    <row r="16" spans="1:74" s="115" customFormat="1" ht="19.5" customHeight="1" thickBot="1">
      <c r="A16" s="229" t="s">
        <v>30</v>
      </c>
      <c r="B16" s="230">
        <f>'FY 2013 by Agency'!B188</f>
        <v>268876</v>
      </c>
      <c r="C16" s="230">
        <f>'FY 2013 by Agency'!C188</f>
        <v>295866</v>
      </c>
      <c r="D16" s="493">
        <f t="shared" si="4"/>
        <v>26990</v>
      </c>
      <c r="E16" s="494">
        <f t="shared" si="5"/>
        <v>0.10038084470164686</v>
      </c>
      <c r="F16" s="230">
        <f>'FY 2013 by Agency'!F188</f>
        <v>308069</v>
      </c>
      <c r="G16" s="493">
        <f t="shared" si="6"/>
        <v>12203</v>
      </c>
      <c r="H16" s="494">
        <f t="shared" si="7"/>
        <v>4.1245023084774866E-2</v>
      </c>
      <c r="I16" s="230">
        <f>'FY 2013 by Agency'!I188</f>
        <v>309536</v>
      </c>
      <c r="J16" s="493">
        <f t="shared" si="8"/>
        <v>1467</v>
      </c>
      <c r="K16" s="494">
        <f t="shared" si="9"/>
        <v>4.7619202191716793E-3</v>
      </c>
      <c r="L16" s="230">
        <f>'FY 2013 by Agency'!L188</f>
        <v>316597</v>
      </c>
      <c r="M16" s="230">
        <f>'FY 2013 by Agency'!M188</f>
        <v>7952</v>
      </c>
      <c r="N16" s="231">
        <f>'FY 2013 by Agency'!N188</f>
        <v>2.5930322042078079E-2</v>
      </c>
      <c r="O16" s="230">
        <f>'FY 2013 by Agency'!O188</f>
        <v>405603</v>
      </c>
      <c r="P16" s="230">
        <f t="shared" si="10"/>
        <v>89006</v>
      </c>
      <c r="Q16" s="231">
        <f t="shared" si="11"/>
        <v>0.28113342830159477</v>
      </c>
      <c r="R16" s="232">
        <f>'FY 2013 by Agency'!R188</f>
        <v>366801</v>
      </c>
      <c r="S16" s="230">
        <f t="shared" si="12"/>
        <v>-38802</v>
      </c>
      <c r="T16" s="231">
        <f t="shared" si="13"/>
        <v>-9.5664972892212333E-2</v>
      </c>
      <c r="U16" s="233">
        <f>'FY 2013 by Agency'!U188</f>
        <v>429972</v>
      </c>
      <c r="V16" s="233">
        <f t="shared" si="14"/>
        <v>63171</v>
      </c>
      <c r="W16" s="234">
        <f t="shared" si="15"/>
        <v>0.17222144977794498</v>
      </c>
      <c r="X16" s="235">
        <f>'FY 2013 by Agency'!X188</f>
        <v>563777</v>
      </c>
      <c r="Y16" s="235">
        <f t="shared" si="16"/>
        <v>133805</v>
      </c>
      <c r="Z16" s="234">
        <f t="shared" si="17"/>
        <v>0.31119468244443826</v>
      </c>
      <c r="AA16" s="236" t="e">
        <f>'FY 2013 by Agency'!#REF!</f>
        <v>#REF!</v>
      </c>
      <c r="AB16" s="236">
        <f>'FY 2013 by Agency'!AA188</f>
        <v>602284</v>
      </c>
      <c r="AC16" s="235">
        <f t="shared" si="0"/>
        <v>38507</v>
      </c>
      <c r="AD16" s="231">
        <f t="shared" si="1"/>
        <v>6.8301828559873851E-2</v>
      </c>
      <c r="AE16" s="236">
        <f>'FY 2013 by Agency'!AF188</f>
        <v>560203</v>
      </c>
      <c r="AF16" s="235">
        <f t="shared" si="2"/>
        <v>-42081</v>
      </c>
      <c r="AG16" s="231">
        <f t="shared" si="3"/>
        <v>-6.9869031885289992E-2</v>
      </c>
      <c r="AH16" s="236">
        <f>'FY 2013 by Agency'!AS188</f>
        <v>538838.50092999998</v>
      </c>
      <c r="AI16" s="235">
        <f t="shared" si="18"/>
        <v>-21364.49907000002</v>
      </c>
      <c r="AJ16" s="501">
        <f t="shared" si="19"/>
        <v>-3.8137066509818796E-2</v>
      </c>
      <c r="AK16" s="236">
        <f>'FY 2013 by Agency'!BE188</f>
        <v>530516</v>
      </c>
      <c r="AL16" s="508">
        <f t="shared" si="20"/>
        <v>-8322.5009299999801</v>
      </c>
      <c r="AM16" s="501">
        <f t="shared" si="21"/>
        <v>-1.5445260343564702E-2</v>
      </c>
      <c r="AN16" s="236">
        <f>'FY 2013 by Agency'!BN188</f>
        <v>574847</v>
      </c>
      <c r="AO16" s="743">
        <f>'FY 2013 by Agency'!BO188</f>
        <v>571299</v>
      </c>
      <c r="AP16" s="756">
        <f t="shared" si="22"/>
        <v>40783</v>
      </c>
      <c r="AQ16" s="757">
        <f t="shared" si="23"/>
        <v>7.6874213030332733E-2</v>
      </c>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s="5" customFormat="1" ht="19.5" customHeight="1" thickBot="1">
      <c r="A17" s="8" t="s">
        <v>54</v>
      </c>
      <c r="B17" s="18">
        <f>'FY 2013 by Agency'!B222</f>
        <v>394753</v>
      </c>
      <c r="C17" s="18">
        <f>'FY 2013 by Agency'!C222</f>
        <v>272071</v>
      </c>
      <c r="D17" s="491">
        <f t="shared" si="4"/>
        <v>-122682</v>
      </c>
      <c r="E17" s="492">
        <f t="shared" si="5"/>
        <v>-0.3107816786699531</v>
      </c>
      <c r="F17" s="18">
        <f>'FY 2013 by Agency'!F222</f>
        <v>278480</v>
      </c>
      <c r="G17" s="491">
        <f t="shared" si="6"/>
        <v>6409</v>
      </c>
      <c r="H17" s="492">
        <f t="shared" si="7"/>
        <v>2.3556351099529166E-2</v>
      </c>
      <c r="I17" s="18">
        <f>'FY 2013 by Agency'!I222</f>
        <v>294072</v>
      </c>
      <c r="J17" s="491">
        <f t="shared" si="8"/>
        <v>15592</v>
      </c>
      <c r="K17" s="492">
        <f t="shared" si="9"/>
        <v>5.5989658144211432E-2</v>
      </c>
      <c r="L17" s="19">
        <f>'FY 2013 by Agency'!L222</f>
        <v>399023</v>
      </c>
      <c r="M17" s="19">
        <f>'FY 2013 by Agency'!M222</f>
        <v>115575</v>
      </c>
      <c r="N17" s="19" t="str">
        <f>'FY 2013 by Agency'!N222</f>
        <v>—</v>
      </c>
      <c r="O17" s="19">
        <f>'FY 2013 by Agency'!O222</f>
        <v>428753</v>
      </c>
      <c r="P17" s="18">
        <f t="shared" si="10"/>
        <v>29730</v>
      </c>
      <c r="Q17" s="42">
        <f t="shared" si="11"/>
        <v>7.4506983306726685E-2</v>
      </c>
      <c r="R17" s="19">
        <f>'FY 2013 by Agency'!R222</f>
        <v>858298</v>
      </c>
      <c r="S17" s="18">
        <f t="shared" si="12"/>
        <v>429545</v>
      </c>
      <c r="T17" s="42">
        <f t="shared" si="13"/>
        <v>1.0018472173955635</v>
      </c>
      <c r="U17" s="19">
        <f>'FY 2013 by Agency'!U222</f>
        <v>605800</v>
      </c>
      <c r="V17" s="22">
        <f t="shared" si="14"/>
        <v>-252498</v>
      </c>
      <c r="W17" s="41">
        <f t="shared" si="15"/>
        <v>-0.29418453730522498</v>
      </c>
      <c r="X17" s="19">
        <f>'FY 2013 by Agency'!X222</f>
        <v>835883</v>
      </c>
      <c r="Y17" s="35">
        <f t="shared" si="16"/>
        <v>230083</v>
      </c>
      <c r="Z17" s="41">
        <f t="shared" si="17"/>
        <v>0.37980026411356882</v>
      </c>
      <c r="AA17" s="44" t="e">
        <f>'FY 2013 by Agency'!#REF!</f>
        <v>#REF!</v>
      </c>
      <c r="AB17" s="44">
        <f>'FY 2013 by Agency'!AA222</f>
        <v>967827</v>
      </c>
      <c r="AC17" s="35">
        <f t="shared" si="0"/>
        <v>131944</v>
      </c>
      <c r="AD17" s="42">
        <f t="shared" si="1"/>
        <v>0.15784984262151522</v>
      </c>
      <c r="AE17" s="43">
        <f>'FY 2013 by Agency'!AF222</f>
        <v>764487</v>
      </c>
      <c r="AF17" s="35">
        <f t="shared" si="2"/>
        <v>-203340</v>
      </c>
      <c r="AG17" s="42">
        <f t="shared" si="3"/>
        <v>-0.21009953225111513</v>
      </c>
      <c r="AH17" s="43">
        <f>'FY 2013 by Agency'!AS222</f>
        <v>861536.56293000001</v>
      </c>
      <c r="AI17" s="35">
        <f t="shared" si="18"/>
        <v>97049.562930000015</v>
      </c>
      <c r="AJ17" s="500">
        <f t="shared" si="19"/>
        <v>0.12694730313268901</v>
      </c>
      <c r="AK17" s="43">
        <f>'FY 2013 by Agency'!BE222</f>
        <v>1002473</v>
      </c>
      <c r="AL17" s="490">
        <f t="shared" si="20"/>
        <v>140936.43706999999</v>
      </c>
      <c r="AM17" s="500">
        <f t="shared" si="21"/>
        <v>0.16358729638901129</v>
      </c>
      <c r="AN17" s="43">
        <f>'FY 2013 by Agency'!BN222</f>
        <v>1033696</v>
      </c>
      <c r="AO17" s="744">
        <f>'FY 2013 by Agency'!BO222</f>
        <v>1040106</v>
      </c>
      <c r="AP17" s="745">
        <f t="shared" si="22"/>
        <v>37633</v>
      </c>
      <c r="AQ17" s="742">
        <f t="shared" si="23"/>
        <v>3.7540163176464601E-2</v>
      </c>
    </row>
    <row r="18" spans="1:74" s="239" customFormat="1" ht="19.5" customHeight="1" thickBot="1">
      <c r="A18" s="237" t="s">
        <v>48</v>
      </c>
      <c r="B18" s="230">
        <f>'FY 2013 by Agency'!B242</f>
        <v>3216212</v>
      </c>
      <c r="C18" s="230">
        <f>'FY 2013 by Agency'!C242</f>
        <v>3526215</v>
      </c>
      <c r="D18" s="493">
        <f t="shared" si="4"/>
        <v>310003</v>
      </c>
      <c r="E18" s="494">
        <f t="shared" si="5"/>
        <v>9.638761375182979E-2</v>
      </c>
      <c r="F18" s="230">
        <f>'FY 2013 by Agency'!F242</f>
        <v>3570540</v>
      </c>
      <c r="G18" s="493">
        <f t="shared" si="6"/>
        <v>44325</v>
      </c>
      <c r="H18" s="494">
        <f t="shared" si="7"/>
        <v>1.2570135400138675E-2</v>
      </c>
      <c r="I18" s="230">
        <f>'FY 2013 by Agency'!I242</f>
        <v>3608249</v>
      </c>
      <c r="J18" s="493">
        <f t="shared" si="8"/>
        <v>37709</v>
      </c>
      <c r="K18" s="494">
        <f t="shared" si="9"/>
        <v>1.0561147613526245E-2</v>
      </c>
      <c r="L18" s="232">
        <f>'FY 2013 by Agency'!L242</f>
        <v>3986249</v>
      </c>
      <c r="M18" s="232">
        <f>'FY 2013 by Agency'!M242</f>
        <v>119050</v>
      </c>
      <c r="N18" s="232" t="str">
        <f>'FY 2013 by Agency'!N242</f>
        <v>—</v>
      </c>
      <c r="O18" s="232">
        <f>'FY 2013 by Agency'!O242</f>
        <v>4449363</v>
      </c>
      <c r="P18" s="230">
        <f t="shared" si="10"/>
        <v>463114</v>
      </c>
      <c r="Q18" s="231">
        <f t="shared" si="11"/>
        <v>0.11617789054321494</v>
      </c>
      <c r="R18" s="232">
        <f>'FY 2013 by Agency'!R242</f>
        <v>5194334</v>
      </c>
      <c r="S18" s="230">
        <f t="shared" si="12"/>
        <v>744971</v>
      </c>
      <c r="T18" s="231">
        <f t="shared" si="13"/>
        <v>0.16743318088454459</v>
      </c>
      <c r="U18" s="232">
        <f>'FY 2013 by Agency'!U242</f>
        <v>5490146</v>
      </c>
      <c r="V18" s="233">
        <f t="shared" si="14"/>
        <v>295812</v>
      </c>
      <c r="W18" s="234">
        <f>V18/R18</f>
        <v>5.6948975556827881E-2</v>
      </c>
      <c r="X18" s="232">
        <f>'FY 2013 by Agency'!X242</f>
        <v>6283891</v>
      </c>
      <c r="Y18" s="235">
        <f t="shared" si="16"/>
        <v>793745</v>
      </c>
      <c r="Z18" s="234">
        <f t="shared" si="17"/>
        <v>0.1445763008852588</v>
      </c>
      <c r="AA18" s="238" t="e">
        <f>'FY 2013 by Agency'!#REF!</f>
        <v>#REF!</v>
      </c>
      <c r="AB18" s="238">
        <f>'FY 2013 by Agency'!AA242</f>
        <v>6256680</v>
      </c>
      <c r="AC18" s="235">
        <f t="shared" si="0"/>
        <v>-27211</v>
      </c>
      <c r="AD18" s="231">
        <f t="shared" si="1"/>
        <v>-4.3302788033719869E-3</v>
      </c>
      <c r="AE18" s="236">
        <f>'FY 2013 by Agency'!AF242</f>
        <v>5823850</v>
      </c>
      <c r="AF18" s="235">
        <f t="shared" si="2"/>
        <v>-432830</v>
      </c>
      <c r="AG18" s="231">
        <f t="shared" si="3"/>
        <v>-6.917886163268698E-2</v>
      </c>
      <c r="AH18" s="236">
        <f>'FY 2013 by Agency'!AS242</f>
        <v>6164783.4165400006</v>
      </c>
      <c r="AI18" s="235">
        <f t="shared" si="18"/>
        <v>340933.41654000059</v>
      </c>
      <c r="AJ18" s="501">
        <f t="shared" si="19"/>
        <v>5.8540899326047301E-2</v>
      </c>
      <c r="AK18" s="236">
        <f>'FY 2013 by Agency'!BE242</f>
        <v>6445514</v>
      </c>
      <c r="AL18" s="508">
        <f t="shared" si="20"/>
        <v>280730.58345999941</v>
      </c>
      <c r="AM18" s="501">
        <f t="shared" si="21"/>
        <v>4.5537785270250437E-2</v>
      </c>
      <c r="AN18" s="236">
        <f>'FY 2013 by Agency'!BN242</f>
        <v>6748667</v>
      </c>
      <c r="AO18" s="743">
        <f>'FY 2013 by Agency'!BO242</f>
        <v>6761446</v>
      </c>
      <c r="AP18" s="756">
        <f t="shared" si="22"/>
        <v>315932</v>
      </c>
      <c r="AQ18" s="757">
        <f t="shared" si="23"/>
        <v>4.9015796102529603E-2</v>
      </c>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row>
    <row r="19" spans="1:74" ht="19.5" customHeight="1">
      <c r="A19" s="6"/>
      <c r="B19" s="6"/>
      <c r="C19" s="6"/>
      <c r="D19" s="6"/>
      <c r="E19" s="6"/>
      <c r="F19" s="6"/>
      <c r="G19" s="6"/>
      <c r="H19" s="6"/>
      <c r="I19" s="6"/>
      <c r="J19" s="6"/>
      <c r="K19" s="6"/>
      <c r="AA19" s="27"/>
      <c r="AB19" s="219"/>
      <c r="AE19" s="27"/>
      <c r="AF19" s="27"/>
      <c r="AG19" s="27"/>
      <c r="AH19" s="27"/>
    </row>
    <row r="20" spans="1:74" ht="19.5" customHeight="1">
      <c r="A20" s="7"/>
      <c r="B20" s="7"/>
      <c r="C20" s="7"/>
      <c r="D20" s="7"/>
      <c r="E20" s="7"/>
      <c r="F20" s="7"/>
      <c r="G20" s="7"/>
      <c r="H20" s="7"/>
      <c r="I20" s="7"/>
      <c r="J20" s="7"/>
      <c r="K20" s="7"/>
      <c r="AA20" s="27"/>
      <c r="AB20" s="27"/>
      <c r="AE20" s="27"/>
      <c r="AF20" s="27"/>
      <c r="AG20" s="27"/>
      <c r="AH20" s="27"/>
    </row>
    <row r="21" spans="1:74" ht="19.5" customHeight="1">
      <c r="A21" s="7"/>
      <c r="B21" s="7"/>
      <c r="C21" s="7"/>
      <c r="D21" s="7"/>
      <c r="E21" s="7"/>
      <c r="F21" s="7"/>
      <c r="G21" s="7"/>
      <c r="H21" s="7"/>
      <c r="I21" s="7"/>
      <c r="J21" s="7"/>
      <c r="K21" s="7"/>
    </row>
    <row r="22" spans="1:74" ht="19.5" customHeight="1">
      <c r="A22" s="3"/>
      <c r="B22" s="3"/>
      <c r="C22" s="3"/>
      <c r="D22" s="3"/>
      <c r="E22" s="3"/>
      <c r="F22" s="3"/>
      <c r="G22" s="3"/>
      <c r="H22" s="3"/>
      <c r="I22" s="3"/>
      <c r="J22" s="3"/>
      <c r="K22" s="3"/>
      <c r="L22" s="11"/>
      <c r="M22" s="32"/>
      <c r="N22" s="29"/>
      <c r="O22" s="31"/>
      <c r="P22" s="10"/>
      <c r="Q22" s="10"/>
      <c r="R22" s="31"/>
    </row>
    <row r="23" spans="1:74" ht="19.5" customHeight="1">
      <c r="A23" s="3"/>
      <c r="B23" s="3"/>
      <c r="C23" s="3"/>
      <c r="D23" s="3"/>
      <c r="E23" s="3"/>
      <c r="F23" s="3"/>
      <c r="G23" s="3"/>
      <c r="H23" s="3"/>
      <c r="I23" s="3"/>
      <c r="J23" s="3"/>
      <c r="K23" s="3"/>
      <c r="L23" s="11"/>
      <c r="M23" s="32"/>
      <c r="N23" s="29"/>
      <c r="O23" s="31"/>
      <c r="P23" s="10"/>
      <c r="Q23" s="10"/>
      <c r="R23" s="31"/>
    </row>
    <row r="24" spans="1:74" ht="19.5" customHeight="1">
      <c r="A24" s="3"/>
      <c r="B24" s="3"/>
      <c r="C24" s="3"/>
      <c r="D24" s="3"/>
      <c r="E24" s="3"/>
      <c r="F24" s="3"/>
      <c r="G24" s="3"/>
      <c r="H24" s="3"/>
      <c r="I24" s="3"/>
      <c r="J24" s="3"/>
      <c r="K24" s="3"/>
      <c r="L24" s="11"/>
      <c r="M24" s="32"/>
      <c r="N24" s="29"/>
      <c r="O24" s="31"/>
      <c r="P24" s="10"/>
      <c r="Q24" s="10"/>
      <c r="R24" s="31"/>
    </row>
    <row r="25" spans="1:74" ht="19.5" customHeight="1">
      <c r="A25" s="3"/>
      <c r="B25" s="3"/>
      <c r="C25" s="3"/>
      <c r="D25" s="3"/>
      <c r="E25" s="3"/>
      <c r="F25" s="3"/>
      <c r="G25" s="3"/>
      <c r="H25" s="3"/>
      <c r="I25" s="3"/>
      <c r="J25" s="3"/>
      <c r="K25" s="3"/>
      <c r="L25" s="11"/>
      <c r="M25" s="32"/>
      <c r="N25" s="29"/>
      <c r="O25" s="31"/>
      <c r="P25" s="10"/>
      <c r="Q25" s="10"/>
      <c r="R25" s="31"/>
    </row>
    <row r="26" spans="1:74" ht="19.5" customHeight="1">
      <c r="A26" s="3"/>
      <c r="B26" s="3"/>
      <c r="C26" s="3"/>
      <c r="D26" s="3"/>
      <c r="E26" s="3"/>
      <c r="F26" s="3"/>
      <c r="G26" s="3"/>
      <c r="H26" s="3"/>
      <c r="I26" s="3"/>
      <c r="J26" s="3"/>
      <c r="K26" s="3"/>
      <c r="L26" s="11"/>
      <c r="M26" s="32"/>
      <c r="N26" s="29"/>
      <c r="O26" s="31"/>
      <c r="P26" s="10"/>
      <c r="Q26" s="10"/>
      <c r="R26" s="31"/>
    </row>
    <row r="27" spans="1:74" ht="19.5" customHeight="1">
      <c r="A27" s="3"/>
      <c r="B27" s="3"/>
      <c r="C27" s="3"/>
      <c r="D27" s="3"/>
      <c r="E27" s="3"/>
      <c r="F27" s="3"/>
      <c r="G27" s="3"/>
      <c r="H27" s="3"/>
      <c r="I27" s="3"/>
      <c r="J27" s="3"/>
      <c r="K27" s="3"/>
      <c r="L27" s="11"/>
      <c r="M27" s="32"/>
      <c r="N27" s="29"/>
      <c r="O27" s="31"/>
      <c r="P27" s="10"/>
      <c r="Q27" s="10"/>
      <c r="R27" s="31"/>
    </row>
    <row r="28" spans="1:74" ht="19.5" customHeight="1">
      <c r="A28" s="3"/>
      <c r="B28" s="3"/>
      <c r="C28" s="3"/>
      <c r="D28" s="3"/>
      <c r="E28" s="3"/>
      <c r="F28" s="3"/>
      <c r="G28" s="3"/>
      <c r="H28" s="3"/>
      <c r="I28" s="3"/>
      <c r="J28" s="3"/>
      <c r="K28" s="3"/>
      <c r="L28" s="11"/>
      <c r="M28" s="32"/>
      <c r="N28" s="29"/>
      <c r="O28" s="31"/>
      <c r="P28" s="10"/>
      <c r="Q28" s="10"/>
      <c r="R28" s="31"/>
    </row>
    <row r="29" spans="1:74" ht="19.5" customHeight="1">
      <c r="A29" s="49"/>
      <c r="B29" s="49"/>
      <c r="C29" s="49"/>
      <c r="D29" s="49"/>
      <c r="E29" s="49"/>
      <c r="F29" s="49"/>
      <c r="G29" s="49"/>
      <c r="H29" s="49"/>
      <c r="I29" s="49"/>
      <c r="J29" s="49"/>
      <c r="K29" s="49"/>
      <c r="L29" s="11"/>
      <c r="M29" s="32"/>
      <c r="N29" s="29"/>
      <c r="O29" s="31"/>
      <c r="P29" s="10"/>
      <c r="Q29" s="10"/>
      <c r="R29" s="31"/>
    </row>
    <row r="30" spans="1:74" ht="19.5" customHeight="1">
      <c r="A30" s="7"/>
      <c r="B30" s="7"/>
      <c r="C30" s="7"/>
      <c r="D30" s="7"/>
      <c r="E30" s="7"/>
      <c r="F30" s="7"/>
      <c r="G30" s="7"/>
      <c r="H30" s="7"/>
      <c r="I30" s="7"/>
      <c r="J30" s="7"/>
      <c r="K30" s="7"/>
      <c r="L30" s="7"/>
      <c r="M30" s="7"/>
      <c r="N30" s="11"/>
      <c r="O30" s="11"/>
    </row>
    <row r="31" spans="1:74" ht="19.5" customHeight="1">
      <c r="A31" s="23"/>
      <c r="B31" s="23"/>
      <c r="C31" s="23"/>
      <c r="D31" s="23"/>
      <c r="E31" s="23"/>
      <c r="F31" s="23"/>
      <c r="G31" s="23"/>
      <c r="H31" s="23"/>
      <c r="I31" s="23"/>
      <c r="J31" s="23"/>
      <c r="K31" s="23"/>
      <c r="L31" s="23"/>
      <c r="M31" s="23"/>
      <c r="N31" s="23"/>
      <c r="O31" s="23"/>
      <c r="P31" s="1"/>
      <c r="Q31" s="34"/>
    </row>
    <row r="32" spans="1:74" ht="19.5" customHeight="1">
      <c r="A32" s="23"/>
      <c r="B32" s="23"/>
      <c r="C32" s="23"/>
      <c r="D32" s="23"/>
      <c r="E32" s="23"/>
      <c r="F32" s="23"/>
      <c r="G32" s="23"/>
      <c r="H32" s="23"/>
      <c r="I32" s="23"/>
      <c r="J32" s="23"/>
      <c r="K32" s="23"/>
      <c r="L32" s="23"/>
      <c r="M32" s="23"/>
      <c r="N32" s="23"/>
      <c r="O32" s="23"/>
      <c r="P32" s="1"/>
      <c r="Q32" s="34"/>
    </row>
    <row r="33" spans="1:17" ht="19.5" customHeight="1">
      <c r="A33" s="23"/>
      <c r="B33" s="23"/>
      <c r="C33" s="23"/>
      <c r="D33" s="23"/>
      <c r="E33" s="23"/>
      <c r="F33" s="23"/>
      <c r="G33" s="23"/>
      <c r="H33" s="23"/>
      <c r="I33" s="23"/>
      <c r="J33" s="23"/>
      <c r="K33" s="23"/>
      <c r="L33" s="23"/>
      <c r="M33" s="23"/>
      <c r="N33" s="23"/>
      <c r="O33" s="23"/>
      <c r="P33" s="1"/>
      <c r="Q33" s="34"/>
    </row>
    <row r="34" spans="1:17" ht="19.5" customHeight="1">
      <c r="A34" s="23"/>
      <c r="B34" s="23"/>
      <c r="C34" s="23"/>
      <c r="D34" s="23"/>
      <c r="E34" s="23"/>
      <c r="F34" s="23"/>
      <c r="G34" s="23"/>
      <c r="H34" s="23"/>
      <c r="I34" s="23"/>
      <c r="J34" s="23"/>
      <c r="K34" s="23"/>
      <c r="L34" s="23"/>
      <c r="M34" s="23"/>
      <c r="N34" s="23"/>
      <c r="O34" s="23"/>
      <c r="P34" s="1"/>
      <c r="Q34" s="34"/>
    </row>
    <row r="35" spans="1:17" ht="19.5" customHeight="1">
      <c r="A35" s="23"/>
      <c r="B35" s="23"/>
      <c r="C35" s="23"/>
      <c r="D35" s="23"/>
      <c r="E35" s="23"/>
      <c r="F35" s="23"/>
      <c r="G35" s="23"/>
      <c r="H35" s="23"/>
      <c r="I35" s="23"/>
      <c r="J35" s="23"/>
      <c r="K35" s="23"/>
      <c r="L35" s="23"/>
      <c r="M35" s="23"/>
      <c r="N35" s="23"/>
      <c r="O35" s="23"/>
      <c r="P35" s="1"/>
      <c r="Q35" s="34"/>
    </row>
    <row r="36" spans="1:17" ht="19.5" customHeight="1">
      <c r="A36" s="23"/>
      <c r="B36" s="23"/>
      <c r="C36" s="23"/>
      <c r="D36" s="23"/>
      <c r="E36" s="23"/>
      <c r="F36" s="23"/>
      <c r="G36" s="23"/>
      <c r="H36" s="23"/>
      <c r="I36" s="23"/>
      <c r="J36" s="23"/>
      <c r="K36" s="23"/>
      <c r="L36" s="23"/>
      <c r="M36" s="23"/>
      <c r="N36" s="23"/>
      <c r="O36" s="23"/>
      <c r="P36" s="1"/>
      <c r="Q36" s="34"/>
    </row>
    <row r="37" spans="1:17" ht="19.5" customHeight="1">
      <c r="A37" s="23"/>
      <c r="B37" s="23"/>
      <c r="C37" s="23"/>
      <c r="D37" s="23"/>
      <c r="E37" s="23"/>
      <c r="F37" s="23"/>
      <c r="G37" s="23"/>
      <c r="H37" s="23"/>
      <c r="I37" s="23"/>
      <c r="J37" s="23"/>
      <c r="K37" s="23"/>
      <c r="L37" s="23"/>
      <c r="M37" s="23"/>
      <c r="N37" s="23"/>
      <c r="O37" s="23"/>
      <c r="P37" s="1"/>
      <c r="Q37" s="34"/>
    </row>
    <row r="38" spans="1:17" ht="19.5" customHeight="1">
      <c r="A38" s="23"/>
      <c r="B38" s="23"/>
      <c r="C38" s="23"/>
      <c r="D38" s="23"/>
      <c r="E38" s="23"/>
      <c r="F38" s="23"/>
      <c r="G38" s="23"/>
      <c r="H38" s="23"/>
      <c r="I38" s="23"/>
      <c r="J38" s="23"/>
      <c r="K38" s="23"/>
      <c r="L38" s="23"/>
      <c r="M38" s="23"/>
      <c r="N38" s="23"/>
      <c r="O38" s="23"/>
      <c r="P38" s="1"/>
      <c r="Q38" s="34"/>
    </row>
    <row r="39" spans="1:17" ht="19.5" customHeight="1">
      <c r="A39" s="23"/>
      <c r="B39" s="23"/>
      <c r="C39" s="23"/>
      <c r="D39" s="23"/>
      <c r="E39" s="23"/>
      <c r="F39" s="23"/>
      <c r="G39" s="23"/>
      <c r="H39" s="23"/>
      <c r="I39" s="23"/>
      <c r="J39" s="23"/>
      <c r="K39" s="23"/>
      <c r="L39" s="23"/>
      <c r="M39" s="23"/>
      <c r="N39" s="23"/>
      <c r="O39" s="23"/>
      <c r="P39" s="1"/>
      <c r="Q39" s="34"/>
    </row>
    <row r="40" spans="1:17" ht="19.5" customHeight="1">
      <c r="A40" s="23"/>
      <c r="B40" s="23"/>
      <c r="C40" s="23"/>
      <c r="D40" s="23"/>
      <c r="E40" s="23"/>
      <c r="F40" s="23"/>
      <c r="G40" s="23"/>
      <c r="H40" s="23"/>
      <c r="I40" s="23"/>
      <c r="J40" s="23"/>
      <c r="K40" s="23"/>
      <c r="L40" s="23"/>
      <c r="M40" s="23"/>
      <c r="N40" s="23"/>
      <c r="O40" s="23"/>
      <c r="P40" s="1"/>
      <c r="Q40" s="34"/>
    </row>
    <row r="41" spans="1:17" ht="19.5" customHeight="1">
      <c r="A41" s="23"/>
      <c r="B41" s="23"/>
      <c r="C41" s="23"/>
      <c r="D41" s="23"/>
      <c r="E41" s="23"/>
      <c r="F41" s="23"/>
      <c r="G41" s="23"/>
      <c r="H41" s="23"/>
      <c r="I41" s="23"/>
      <c r="J41" s="23"/>
      <c r="K41" s="23"/>
      <c r="L41" s="23"/>
      <c r="M41" s="23"/>
      <c r="N41" s="23"/>
      <c r="O41" s="23"/>
      <c r="P41" s="1"/>
      <c r="Q41" s="34"/>
    </row>
    <row r="42" spans="1:17" ht="19.5" customHeight="1">
      <c r="A42" s="23"/>
      <c r="B42" s="23"/>
      <c r="C42" s="23"/>
      <c r="D42" s="23"/>
      <c r="E42" s="23"/>
      <c r="F42" s="23"/>
      <c r="G42" s="23"/>
      <c r="H42" s="23"/>
      <c r="I42" s="23"/>
      <c r="J42" s="23"/>
      <c r="K42" s="23"/>
      <c r="L42" s="23"/>
      <c r="M42" s="23"/>
      <c r="N42" s="23"/>
      <c r="O42" s="23"/>
      <c r="P42" s="1"/>
      <c r="Q42" s="34"/>
    </row>
    <row r="43" spans="1:17" ht="19.5" customHeight="1">
      <c r="A43" s="23"/>
      <c r="B43" s="23"/>
      <c r="C43" s="23"/>
      <c r="D43" s="23"/>
      <c r="E43" s="23"/>
      <c r="F43" s="23"/>
      <c r="G43" s="23"/>
      <c r="H43" s="23"/>
      <c r="I43" s="23"/>
      <c r="J43" s="23"/>
      <c r="K43" s="23"/>
      <c r="L43" s="23"/>
      <c r="M43" s="23"/>
      <c r="N43" s="23"/>
      <c r="O43" s="23"/>
      <c r="P43" s="1"/>
      <c r="Q43" s="34"/>
    </row>
    <row r="44" spans="1:17" ht="19.5" customHeight="1">
      <c r="A44" s="23"/>
      <c r="B44" s="23"/>
      <c r="C44" s="23"/>
      <c r="D44" s="23"/>
      <c r="E44" s="23"/>
      <c r="F44" s="23"/>
      <c r="G44" s="23"/>
      <c r="H44" s="23"/>
      <c r="I44" s="23"/>
      <c r="J44" s="23"/>
      <c r="K44" s="23"/>
      <c r="L44" s="23"/>
      <c r="M44" s="23"/>
      <c r="N44" s="23"/>
      <c r="O44" s="23"/>
      <c r="P44" s="1"/>
      <c r="Q44" s="34"/>
    </row>
    <row r="45" spans="1:17" ht="19.5" customHeight="1">
      <c r="A45" s="23"/>
      <c r="B45" s="23"/>
      <c r="C45" s="23"/>
      <c r="D45" s="23"/>
      <c r="E45" s="23"/>
      <c r="F45" s="23"/>
      <c r="G45" s="23"/>
      <c r="H45" s="23"/>
      <c r="I45" s="23"/>
      <c r="J45" s="23"/>
      <c r="K45" s="23"/>
      <c r="L45" s="23"/>
      <c r="M45" s="23"/>
      <c r="N45" s="23"/>
      <c r="O45" s="23"/>
      <c r="P45" s="1"/>
      <c r="Q45" s="34"/>
    </row>
    <row r="46" spans="1:17" ht="19.5" customHeight="1">
      <c r="A46" s="23"/>
      <c r="B46" s="23"/>
      <c r="C46" s="23"/>
      <c r="D46" s="23"/>
      <c r="E46" s="23"/>
      <c r="F46" s="23"/>
      <c r="G46" s="23"/>
      <c r="H46" s="23"/>
      <c r="I46" s="23"/>
      <c r="J46" s="23"/>
      <c r="K46" s="23"/>
      <c r="L46" s="23"/>
      <c r="M46" s="23"/>
      <c r="N46" s="23"/>
      <c r="O46" s="23"/>
      <c r="P46" s="1"/>
      <c r="Q46" s="34"/>
    </row>
    <row r="47" spans="1:17" ht="19.5" customHeight="1">
      <c r="A47" s="23"/>
      <c r="B47" s="23"/>
      <c r="C47" s="23"/>
      <c r="D47" s="23"/>
      <c r="E47" s="23"/>
      <c r="F47" s="23"/>
      <c r="G47" s="23"/>
      <c r="H47" s="23"/>
      <c r="I47" s="23"/>
      <c r="J47" s="23"/>
      <c r="K47" s="23"/>
      <c r="L47" s="23"/>
      <c r="M47" s="23"/>
      <c r="N47" s="23"/>
      <c r="O47" s="23"/>
      <c r="P47" s="1"/>
      <c r="Q47" s="34"/>
    </row>
    <row r="48" spans="1:17" ht="19.5" customHeight="1">
      <c r="A48" s="23"/>
      <c r="B48" s="23"/>
      <c r="C48" s="23"/>
      <c r="D48" s="23"/>
      <c r="E48" s="23"/>
      <c r="F48" s="23"/>
      <c r="G48" s="23"/>
      <c r="H48" s="23"/>
      <c r="I48" s="23"/>
      <c r="J48" s="23"/>
      <c r="K48" s="23"/>
      <c r="L48" s="23"/>
      <c r="M48" s="23"/>
      <c r="N48" s="23"/>
      <c r="O48" s="23"/>
      <c r="P48" s="1"/>
      <c r="Q48" s="34"/>
    </row>
    <row r="49" spans="1:17" ht="19.5" customHeight="1">
      <c r="A49" s="23"/>
      <c r="B49" s="23"/>
      <c r="C49" s="23"/>
      <c r="D49" s="23"/>
      <c r="E49" s="23"/>
      <c r="F49" s="23"/>
      <c r="G49" s="23"/>
      <c r="H49" s="23"/>
      <c r="I49" s="23"/>
      <c r="J49" s="23"/>
      <c r="K49" s="23"/>
      <c r="L49" s="23"/>
      <c r="M49" s="23"/>
      <c r="N49" s="23"/>
      <c r="O49" s="23"/>
      <c r="P49" s="1"/>
      <c r="Q49" s="34"/>
    </row>
    <row r="50" spans="1:17" ht="19.5" customHeight="1">
      <c r="L50" s="23"/>
      <c r="M50" s="23"/>
      <c r="N50" s="23"/>
      <c r="O50" s="23"/>
      <c r="P50" s="1"/>
      <c r="Q50" s="34"/>
    </row>
    <row r="51" spans="1:17" ht="19.5" customHeight="1">
      <c r="A51" s="1"/>
      <c r="B51" s="1"/>
      <c r="C51" s="1"/>
      <c r="D51" s="1"/>
      <c r="E51" s="1"/>
      <c r="F51" s="1"/>
      <c r="G51" s="1"/>
      <c r="H51" s="1"/>
      <c r="I51" s="1"/>
      <c r="J51" s="1"/>
      <c r="K51" s="1"/>
      <c r="L51" s="1"/>
      <c r="M51" s="1"/>
      <c r="N51" s="1"/>
      <c r="O51" s="1"/>
      <c r="P51" s="1"/>
      <c r="Q51" s="34"/>
    </row>
    <row r="52" spans="1:17" ht="19.5" customHeight="1">
      <c r="A52" s="1"/>
      <c r="B52" s="1"/>
      <c r="C52" s="1"/>
      <c r="D52" s="1"/>
      <c r="E52" s="1"/>
      <c r="F52" s="1"/>
      <c r="G52" s="1"/>
      <c r="H52" s="1"/>
      <c r="I52" s="1"/>
      <c r="J52" s="1"/>
      <c r="K52" s="1"/>
      <c r="L52" s="1"/>
      <c r="M52" s="1"/>
      <c r="N52" s="1"/>
      <c r="O52" s="1"/>
      <c r="P52" s="1"/>
      <c r="Q52" s="34"/>
    </row>
    <row r="53" spans="1:17" ht="19.5" customHeight="1">
      <c r="A53" s="1"/>
      <c r="B53" s="1"/>
      <c r="C53" s="1"/>
      <c r="D53" s="1"/>
      <c r="E53" s="1"/>
      <c r="F53" s="1"/>
      <c r="G53" s="1"/>
      <c r="H53" s="1"/>
      <c r="I53" s="1"/>
      <c r="J53" s="1"/>
      <c r="K53" s="1"/>
      <c r="L53" s="1"/>
      <c r="M53" s="1"/>
      <c r="N53" s="1"/>
      <c r="O53" s="1"/>
      <c r="P53" s="1"/>
      <c r="Q53" s="34"/>
    </row>
    <row r="54" spans="1:17" ht="19.5" customHeight="1">
      <c r="A54" s="1"/>
      <c r="B54" s="1"/>
      <c r="C54" s="1"/>
      <c r="D54" s="1"/>
      <c r="E54" s="1"/>
      <c r="F54" s="1"/>
      <c r="G54" s="1"/>
      <c r="H54" s="1"/>
      <c r="I54" s="1"/>
      <c r="J54" s="1"/>
      <c r="K54" s="1"/>
      <c r="L54" s="1"/>
      <c r="M54" s="1"/>
      <c r="N54" s="1"/>
      <c r="O54" s="1"/>
      <c r="P54" s="1"/>
      <c r="Q54" s="34"/>
    </row>
    <row r="55" spans="1:17" ht="19.5" customHeight="1">
      <c r="A55" s="1"/>
      <c r="B55" s="1"/>
      <c r="C55" s="1"/>
      <c r="D55" s="1"/>
      <c r="E55" s="1"/>
      <c r="F55" s="1"/>
      <c r="G55" s="1"/>
      <c r="H55" s="1"/>
      <c r="I55" s="1"/>
      <c r="J55" s="1"/>
      <c r="K55" s="1"/>
      <c r="L55" s="1"/>
      <c r="M55" s="1"/>
      <c r="N55" s="1"/>
      <c r="O55" s="1"/>
      <c r="P55" s="1"/>
      <c r="Q55" s="34"/>
    </row>
    <row r="56" spans="1:17" ht="19.5" customHeight="1">
      <c r="A56" s="1"/>
      <c r="B56" s="1"/>
      <c r="C56" s="1"/>
      <c r="D56" s="1"/>
      <c r="E56" s="1"/>
      <c r="F56" s="1"/>
      <c r="G56" s="1"/>
      <c r="H56" s="1"/>
      <c r="I56" s="1"/>
      <c r="J56" s="1"/>
      <c r="K56" s="1"/>
      <c r="L56" s="1"/>
      <c r="M56" s="1"/>
      <c r="N56" s="1"/>
      <c r="O56" s="1"/>
      <c r="P56" s="1"/>
      <c r="Q56" s="34"/>
    </row>
    <row r="57" spans="1:17" ht="19.5" customHeight="1">
      <c r="A57" s="1"/>
      <c r="B57" s="1"/>
      <c r="C57" s="1"/>
      <c r="D57" s="1"/>
      <c r="E57" s="1"/>
      <c r="F57" s="1"/>
      <c r="G57" s="1"/>
      <c r="H57" s="1"/>
      <c r="I57" s="1"/>
      <c r="J57" s="1"/>
      <c r="K57" s="1"/>
      <c r="L57" s="1"/>
      <c r="M57" s="1"/>
      <c r="N57" s="1"/>
      <c r="O57" s="1"/>
      <c r="P57" s="1"/>
      <c r="Q57" s="34"/>
    </row>
    <row r="58" spans="1:17" ht="19.5" customHeight="1">
      <c r="A58" s="1"/>
      <c r="B58" s="1"/>
      <c r="C58" s="1"/>
      <c r="D58" s="1"/>
      <c r="E58" s="1"/>
      <c r="F58" s="1"/>
      <c r="G58" s="1"/>
      <c r="H58" s="1"/>
      <c r="I58" s="1"/>
      <c r="J58" s="1"/>
      <c r="K58" s="1"/>
      <c r="L58" s="1"/>
      <c r="M58" s="1"/>
      <c r="N58" s="1"/>
      <c r="O58" s="1"/>
      <c r="P58" s="1"/>
      <c r="Q58" s="34"/>
    </row>
    <row r="59" spans="1:17" ht="19.5" customHeight="1">
      <c r="A59" s="1"/>
      <c r="B59" s="1"/>
      <c r="C59" s="1"/>
      <c r="D59" s="1"/>
      <c r="E59" s="1"/>
      <c r="F59" s="1"/>
      <c r="G59" s="1"/>
      <c r="H59" s="1"/>
      <c r="I59" s="1"/>
      <c r="J59" s="1"/>
      <c r="K59" s="1"/>
      <c r="L59" s="1"/>
      <c r="M59" s="1"/>
      <c r="N59" s="1"/>
      <c r="O59" s="1"/>
      <c r="P59" s="1"/>
      <c r="Q59" s="34"/>
    </row>
    <row r="60" spans="1:17" ht="19.5" customHeight="1">
      <c r="A60" s="1"/>
      <c r="B60" s="1"/>
      <c r="C60" s="1"/>
      <c r="D60" s="1"/>
      <c r="E60" s="1"/>
      <c r="F60" s="1"/>
      <c r="G60" s="1"/>
      <c r="H60" s="1"/>
      <c r="I60" s="1"/>
      <c r="J60" s="1"/>
      <c r="K60" s="1"/>
      <c r="L60" s="1"/>
      <c r="M60" s="1"/>
      <c r="N60" s="1"/>
      <c r="O60" s="1"/>
      <c r="P60" s="1"/>
      <c r="Q60" s="34"/>
    </row>
    <row r="61" spans="1:17" ht="19.5" customHeight="1">
      <c r="A61" s="1"/>
      <c r="B61" s="1"/>
      <c r="C61" s="1"/>
      <c r="D61" s="1"/>
      <c r="E61" s="1"/>
      <c r="F61" s="1"/>
      <c r="G61" s="1"/>
      <c r="H61" s="1"/>
      <c r="I61" s="1"/>
      <c r="J61" s="1"/>
      <c r="K61" s="1"/>
      <c r="L61" s="1"/>
      <c r="M61" s="1"/>
      <c r="N61" s="1"/>
      <c r="O61" s="1"/>
      <c r="P61" s="1"/>
      <c r="Q61" s="34"/>
    </row>
    <row r="62" spans="1:17" ht="19.5" customHeight="1">
      <c r="A62" s="1"/>
      <c r="B62" s="1"/>
      <c r="C62" s="1"/>
      <c r="D62" s="1"/>
      <c r="E62" s="1"/>
      <c r="F62" s="1"/>
      <c r="G62" s="1"/>
      <c r="H62" s="1"/>
      <c r="I62" s="1"/>
      <c r="J62" s="1"/>
      <c r="K62" s="1"/>
      <c r="L62" s="1"/>
      <c r="M62" s="1"/>
      <c r="N62" s="1"/>
      <c r="O62" s="1"/>
      <c r="P62" s="1"/>
      <c r="Q62" s="34"/>
    </row>
    <row r="63" spans="1:17" ht="19.5" customHeight="1">
      <c r="A63" s="1"/>
      <c r="B63" s="1"/>
      <c r="C63" s="1"/>
      <c r="D63" s="1"/>
      <c r="E63" s="1"/>
      <c r="F63" s="1"/>
      <c r="G63" s="1"/>
      <c r="H63" s="1"/>
      <c r="I63" s="1"/>
      <c r="J63" s="1"/>
      <c r="K63" s="1"/>
      <c r="L63" s="1"/>
      <c r="M63" s="1"/>
      <c r="N63" s="1"/>
      <c r="O63" s="1"/>
      <c r="P63" s="1"/>
      <c r="Q63" s="34"/>
    </row>
    <row r="64" spans="1:17" ht="19.5" customHeight="1">
      <c r="A64" s="1"/>
      <c r="B64" s="1"/>
      <c r="C64" s="1"/>
      <c r="D64" s="1"/>
      <c r="E64" s="1"/>
      <c r="F64" s="1"/>
      <c r="G64" s="1"/>
      <c r="H64" s="1"/>
      <c r="I64" s="1"/>
      <c r="J64" s="1"/>
      <c r="K64" s="1"/>
      <c r="L64" s="1"/>
      <c r="M64" s="1"/>
      <c r="N64" s="1"/>
      <c r="O64" s="1"/>
      <c r="P64" s="1"/>
      <c r="Q64" s="34"/>
    </row>
  </sheetData>
  <customSheetViews>
    <customSheetView guid="{7A9890A5-7CC2-466F-AA52-39E8D428DC1C}" scale="80" hiddenColumns="1" topLeftCell="A7">
      <pane xSplit="1" ySplit="4" topLeftCell="B11" activePane="bottomRight" state="frozen"/>
      <selection pane="bottomRight" activeCell="A24" sqref="A24"/>
      <pageMargins left="0.75" right="0.75" top="1" bottom="1" header="0.5" footer="0.5"/>
      <pageSetup orientation="portrait" r:id="rId1"/>
      <headerFooter alignWithMargins="0"/>
    </customSheetView>
    <customSheetView guid="{567C3053-2D8E-4705-8DC7-18896C5303CA}" scale="80" showPageBreaks="1" hiddenColumns="1" topLeftCell="A7">
      <pane xSplit="1" ySplit="4" topLeftCell="AM11" activePane="bottomRight" state="frozen"/>
      <selection pane="bottomRight" activeCell="AQ20" sqref="AQ20"/>
      <pageMargins left="0.75" right="0.75" top="1" bottom="1" header="0.5" footer="0.5"/>
      <pageSetup orientation="portrait" r:id="rId2"/>
      <headerFooter alignWithMargins="0"/>
    </customSheetView>
    <customSheetView guid="{AEFEB150-9213-45F5-A178-7AC71E46DB11}" scale="80" hiddenColumns="1" topLeftCell="A7">
      <pane xSplit="1" ySplit="4" topLeftCell="B11" activePane="bottomRight" state="frozen"/>
      <selection pane="bottomRight" activeCell="A10" sqref="A10"/>
      <pageMargins left="0.75" right="0.75" top="1" bottom="1" header="0.5" footer="0.5"/>
      <pageSetup orientation="portrait" r:id="rId3"/>
      <headerFooter alignWithMargins="0"/>
    </customSheetView>
    <customSheetView guid="{E81D05A4-5B21-42D3-A8D3-906ABCABC0F4}" scale="80" hiddenColumns="1" topLeftCell="A7">
      <pane xSplit="1" ySplit="4" topLeftCell="AM11" activePane="bottomRight" state="frozen"/>
      <selection pane="bottomRight" activeCell="AN11" sqref="AN11"/>
      <pageMargins left="0.75" right="0.75" top="1" bottom="1" header="0.5" footer="0.5"/>
      <pageSetup orientation="portrait" r:id="rId4"/>
      <headerFooter alignWithMargins="0"/>
    </customSheetView>
    <customSheetView guid="{A2518DB3-3A80-4035-9307-EC50A7C923F2}" scale="80" hiddenColumns="1" topLeftCell="A7">
      <pane xSplit="1" ySplit="4" topLeftCell="AG11" activePane="bottomRight" state="frozen"/>
      <selection pane="bottomRight" activeCell="AN11" sqref="AN11"/>
      <pageMargins left="0.75" right="0.75" top="1" bottom="1" header="0.5" footer="0.5"/>
      <pageSetup orientation="portrait" r:id="rId5"/>
      <headerFooter alignWithMargins="0"/>
    </customSheetView>
    <customSheetView guid="{50528D02-548E-47E0-94D7-D1E79CD3569C}" scale="80" hiddenColumns="1" topLeftCell="A7">
      <pane xSplit="1" ySplit="4" topLeftCell="AG11" activePane="bottomRight" state="frozen"/>
      <selection pane="bottomRight" activeCell="AN11" sqref="AN11"/>
      <pageMargins left="0.75" right="0.75" top="1" bottom="1" header="0.5" footer="0.5"/>
      <pageSetup orientation="portrait" r:id="rId6"/>
      <headerFooter alignWithMargins="0"/>
    </customSheetView>
    <customSheetView guid="{E44F5FE1-54FC-4AB3-84F9-7D65ACF2DDE7}" scale="80" hiddenColumns="1" topLeftCell="A7">
      <pane xSplit="1" ySplit="4" topLeftCell="B11" activePane="bottomRight" state="frozen"/>
      <selection pane="bottomRight" activeCell="A10" sqref="A10"/>
      <pageMargins left="0.75" right="0.75" top="1" bottom="1" header="0.5" footer="0.5"/>
      <pageSetup orientation="portrait" r:id="rId7"/>
      <headerFooter alignWithMargins="0"/>
    </customSheetView>
    <customSheetView guid="{94DA13B6-7351-40F3-8CF7-A4211EC439DA}" scale="80" hiddenColumns="1" topLeftCell="A7">
      <pane xSplit="1" ySplit="4" topLeftCell="B11" activePane="bottomRight" state="frozen"/>
      <selection pane="bottomRight" activeCell="A10" sqref="A10"/>
      <pageMargins left="0.75" right="0.75" top="1" bottom="1" header="0.5" footer="0.5"/>
      <pageSetup orientation="portrait" r:id="rId8"/>
      <headerFooter alignWithMargins="0"/>
    </customSheetView>
    <customSheetView guid="{8F508F4D-4777-42BE-9707-8CB9355F7BDB}" scale="80" hiddenColumns="1" topLeftCell="A7">
      <pane xSplit="1" ySplit="4" topLeftCell="B11" activePane="bottomRight" state="frozen"/>
      <selection pane="bottomRight" activeCell="A10" sqref="A10"/>
      <pageMargins left="0.75" right="0.75" top="1" bottom="1" header="0.5" footer="0.5"/>
      <pageSetup orientation="portrait" r:id="rId9"/>
      <headerFooter alignWithMargins="0"/>
    </customSheetView>
    <customSheetView guid="{F784130D-F647-4ABA-8943-C79CA5B0FDC4}" scale="80" hiddenColumns="1" topLeftCell="A7">
      <pane xSplit="1" ySplit="4" topLeftCell="AD11" activePane="bottomRight" state="frozen"/>
      <selection pane="bottomRight" activeCell="A8" sqref="A8"/>
      <pageMargins left="0.75" right="0.75" top="1" bottom="1" header="0.5" footer="0.5"/>
      <pageSetup orientation="portrait" r:id="rId10"/>
      <headerFooter alignWithMargins="0"/>
    </customSheetView>
    <customSheetView guid="{1E5198E1-BA46-4CE0-8628-4F695B0D7A3B}" scale="80" hiddenColumns="1" topLeftCell="A7">
      <pane xSplit="1" ySplit="4" topLeftCell="B11" activePane="bottomRight" state="frozen"/>
      <selection pane="bottomRight" activeCell="A10" sqref="A10"/>
      <pageMargins left="0.75" right="0.75" top="1" bottom="1" header="0.5" footer="0.5"/>
      <pageSetup orientation="portrait" r:id="rId11"/>
      <headerFooter alignWithMargins="0"/>
    </customSheetView>
    <customSheetView guid="{455630F5-40FC-47DB-8AD4-712C20B8FB91}" scale="80" hiddenColumns="1" topLeftCell="A7">
      <pane xSplit="1" ySplit="4" topLeftCell="AG11" activePane="bottomRight" state="frozen"/>
      <selection pane="bottomRight" activeCell="AN11" sqref="AN11"/>
      <pageMargins left="0.75" right="0.75" top="1" bottom="1" header="0.5" footer="0.5"/>
      <pageSetup orientation="portrait" r:id="rId12"/>
      <headerFooter alignWithMargins="0"/>
    </customSheetView>
    <customSheetView guid="{78CA186D-B240-44D5-8A24-D241DE0B0FD9}" scale="80" hiddenColumns="1" topLeftCell="A7">
      <pane xSplit="1" ySplit="4" topLeftCell="AM11" activePane="bottomRight" state="frozen"/>
      <selection pane="bottomRight" activeCell="AN11" sqref="AN11"/>
      <pageMargins left="0.75" right="0.75" top="1" bottom="1" header="0.5" footer="0.5"/>
      <pageSetup orientation="portrait" r:id="rId13"/>
      <headerFooter alignWithMargins="0"/>
    </customSheetView>
    <customSheetView guid="{9D4F0482-B164-4671-805A-E0D2D4DD4720}" scale="80" hiddenColumns="1" topLeftCell="A7">
      <pane xSplit="1" ySplit="4" topLeftCell="B11" activePane="bottomRight" state="frozen"/>
      <selection pane="bottomRight" activeCell="A10" sqref="A10"/>
      <pageMargins left="0.75" right="0.75" top="1" bottom="1" header="0.5" footer="0.5"/>
      <pageSetup orientation="portrait" r:id="rId14"/>
      <headerFooter alignWithMargins="0"/>
    </customSheetView>
  </customSheetViews>
  <mergeCells count="10">
    <mergeCell ref="AI9:AJ9"/>
    <mergeCell ref="AF9:AG9"/>
    <mergeCell ref="AE9:AE10"/>
    <mergeCell ref="AH9:AH10"/>
    <mergeCell ref="M9:N9"/>
    <mergeCell ref="P9:Q9"/>
    <mergeCell ref="AC9:AD9"/>
    <mergeCell ref="Y9:Z9"/>
    <mergeCell ref="V9:W9"/>
    <mergeCell ref="S9:T9"/>
  </mergeCells>
  <phoneticPr fontId="0" type="noConversion"/>
  <pageMargins left="0.75" right="0.75" top="1" bottom="1" header="0.5" footer="0.5"/>
  <pageSetup orientation="portrait" r:id="rId15"/>
  <headerFooter alignWithMargins="0"/>
</worksheet>
</file>

<file path=xl/worksheets/sheet3.xml><?xml version="1.0" encoding="utf-8"?>
<worksheet xmlns="http://schemas.openxmlformats.org/spreadsheetml/2006/main" xmlns:r="http://schemas.openxmlformats.org/officeDocument/2006/relationships">
  <dimension ref="A1:BV64"/>
  <sheetViews>
    <sheetView topLeftCell="AI7" zoomScale="85" zoomScaleNormal="85" workbookViewId="0">
      <selection activeCell="AP11" sqref="AP11"/>
    </sheetView>
  </sheetViews>
  <sheetFormatPr defaultRowHeight="19.5" customHeight="1"/>
  <cols>
    <col min="1" max="1" width="47" customWidth="1"/>
    <col min="2" max="9" width="12" customWidth="1"/>
    <col min="10" max="11" width="11.81640625" customWidth="1"/>
    <col min="12" max="12" width="14" customWidth="1"/>
    <col min="13" max="16" width="13.7265625" customWidth="1"/>
    <col min="17" max="17" width="13.7265625" style="14" customWidth="1"/>
    <col min="18" max="18" width="13.26953125" customWidth="1"/>
    <col min="19" max="19" width="13.7265625" customWidth="1"/>
    <col min="20" max="20" width="11.54296875" style="14" customWidth="1"/>
    <col min="21" max="21" width="15.1796875" customWidth="1"/>
    <col min="22" max="22" width="13.7265625" customWidth="1"/>
    <col min="23" max="23" width="13.7265625" style="14" customWidth="1"/>
    <col min="24" max="24" width="14.1796875" customWidth="1"/>
    <col min="25" max="25" width="13.54296875" customWidth="1"/>
    <col min="26" max="26" width="14" style="14" customWidth="1"/>
    <col min="27" max="27" width="15.1796875" hidden="1" customWidth="1"/>
    <col min="28" max="28" width="15.1796875" customWidth="1"/>
    <col min="29" max="29" width="15.453125" customWidth="1"/>
    <col min="30" max="30" width="14.453125" customWidth="1"/>
    <col min="31" max="32" width="15.1796875" customWidth="1"/>
    <col min="33" max="33" width="16.26953125" customWidth="1"/>
    <col min="34" max="34" width="15.1796875" customWidth="1"/>
    <col min="35" max="35" width="16.81640625" customWidth="1"/>
    <col min="36" max="36" width="14.54296875" customWidth="1"/>
    <col min="37" max="37" width="17" style="5" customWidth="1"/>
    <col min="38" max="38" width="14.81640625" style="5" customWidth="1"/>
    <col min="39" max="39" width="14.54296875" style="5" customWidth="1"/>
    <col min="40" max="41" width="17.453125" style="5" customWidth="1"/>
    <col min="42" max="42" width="16.54296875" style="5" customWidth="1"/>
    <col min="43" max="43" width="13.26953125" style="5" customWidth="1"/>
    <col min="44" max="74" width="9.1796875" style="5"/>
  </cols>
  <sheetData>
    <row r="1" spans="1:74" ht="19.5" customHeight="1">
      <c r="A1" s="510" t="s">
        <v>49</v>
      </c>
    </row>
    <row r="2" spans="1:74" ht="19.5" customHeight="1">
      <c r="A2" s="510" t="s">
        <v>377</v>
      </c>
    </row>
    <row r="4" spans="1:74" ht="19.5" customHeight="1">
      <c r="A4" s="220" t="s">
        <v>116</v>
      </c>
      <c r="B4" s="5"/>
      <c r="C4" s="5"/>
      <c r="D4" s="5"/>
      <c r="E4" s="5"/>
      <c r="F4" s="5"/>
      <c r="G4" s="5"/>
      <c r="H4" s="5"/>
      <c r="I4" s="5"/>
    </row>
    <row r="5" spans="1:74" ht="19.5" customHeight="1">
      <c r="A5" s="220" t="s">
        <v>396</v>
      </c>
      <c r="B5" s="5"/>
      <c r="C5" s="5"/>
      <c r="D5" s="5"/>
      <c r="E5" s="5"/>
      <c r="F5" s="5"/>
      <c r="G5" s="5"/>
      <c r="H5" s="5"/>
      <c r="I5" s="5"/>
    </row>
    <row r="6" spans="1:74" ht="19.5" customHeight="1">
      <c r="A6" s="245" t="s">
        <v>130</v>
      </c>
      <c r="B6" s="5"/>
      <c r="C6" s="5"/>
      <c r="D6" s="5"/>
      <c r="E6" s="5"/>
      <c r="F6" s="5"/>
      <c r="G6" s="5"/>
      <c r="H6" s="5"/>
      <c r="I6" s="5"/>
    </row>
    <row r="7" spans="1:74" ht="19.5" customHeight="1">
      <c r="A7" s="2"/>
      <c r="B7" s="2"/>
      <c r="C7" s="2"/>
      <c r="D7" s="2"/>
      <c r="E7" s="2"/>
      <c r="F7" s="2"/>
      <c r="G7" s="2"/>
      <c r="H7" s="2"/>
      <c r="I7" s="2"/>
      <c r="J7" s="2"/>
      <c r="K7" s="2"/>
      <c r="L7" s="6"/>
      <c r="M7" s="6"/>
      <c r="N7" s="6"/>
      <c r="O7" s="6"/>
      <c r="P7" s="6"/>
      <c r="Q7" s="17"/>
    </row>
    <row r="8" spans="1:74" ht="19.5" customHeight="1" thickBot="1">
      <c r="A8" s="2"/>
      <c r="B8" s="397"/>
      <c r="C8" s="397"/>
      <c r="D8" s="397"/>
      <c r="E8" s="397"/>
      <c r="F8" s="397"/>
      <c r="G8" s="397"/>
      <c r="H8" s="397"/>
      <c r="I8" s="397"/>
      <c r="J8" s="2"/>
      <c r="K8" s="2"/>
      <c r="L8" s="4"/>
      <c r="M8" s="4"/>
      <c r="N8" s="4"/>
      <c r="O8" s="4"/>
      <c r="P8" s="4"/>
      <c r="Q8" s="16"/>
      <c r="R8" s="4"/>
      <c r="S8" s="6"/>
      <c r="U8" s="4"/>
      <c r="X8" s="4"/>
      <c r="AA8" s="4"/>
      <c r="AB8" s="6"/>
      <c r="AE8" s="6"/>
      <c r="AF8" s="6"/>
      <c r="AG8" s="6"/>
      <c r="AH8" s="6"/>
    </row>
    <row r="9" spans="1:74" ht="39" customHeight="1" thickBot="1">
      <c r="A9" s="399"/>
      <c r="B9" s="401" t="s">
        <v>365</v>
      </c>
      <c r="C9" s="403" t="s">
        <v>368</v>
      </c>
      <c r="D9" s="406" t="s">
        <v>380</v>
      </c>
      <c r="E9" s="406"/>
      <c r="F9" s="401" t="s">
        <v>367</v>
      </c>
      <c r="G9" s="411" t="s">
        <v>379</v>
      </c>
      <c r="H9" s="401"/>
      <c r="I9" s="403" t="s">
        <v>366</v>
      </c>
      <c r="J9" s="407" t="s">
        <v>378</v>
      </c>
      <c r="K9" s="407"/>
      <c r="L9" s="401" t="s">
        <v>47</v>
      </c>
      <c r="M9" s="700" t="s">
        <v>91</v>
      </c>
      <c r="N9" s="701"/>
      <c r="O9" s="403" t="s">
        <v>46</v>
      </c>
      <c r="P9" s="702" t="s">
        <v>92</v>
      </c>
      <c r="Q9" s="703"/>
      <c r="R9" s="401" t="s">
        <v>87</v>
      </c>
      <c r="S9" s="700" t="s">
        <v>100</v>
      </c>
      <c r="T9" s="701"/>
      <c r="U9" s="414" t="s">
        <v>95</v>
      </c>
      <c r="V9" s="702" t="s">
        <v>128</v>
      </c>
      <c r="W9" s="703"/>
      <c r="X9" s="416" t="s">
        <v>106</v>
      </c>
      <c r="Y9" s="698" t="s">
        <v>216</v>
      </c>
      <c r="Z9" s="699"/>
      <c r="AA9" s="21" t="s">
        <v>129</v>
      </c>
      <c r="AB9" s="395" t="s">
        <v>129</v>
      </c>
      <c r="AC9" s="438" t="s">
        <v>390</v>
      </c>
      <c r="AD9" s="437"/>
      <c r="AE9" s="433" t="s">
        <v>382</v>
      </c>
      <c r="AF9" s="439" t="s">
        <v>387</v>
      </c>
      <c r="AG9" s="434"/>
      <c r="AH9" s="435" t="s">
        <v>391</v>
      </c>
      <c r="AI9" s="438" t="s">
        <v>393</v>
      </c>
      <c r="AJ9" s="432"/>
      <c r="AK9" s="425" t="s">
        <v>385</v>
      </c>
      <c r="AL9" s="426" t="s">
        <v>389</v>
      </c>
      <c r="AM9" s="424"/>
      <c r="AN9" s="624" t="s">
        <v>436</v>
      </c>
      <c r="AO9" s="682" t="s">
        <v>488</v>
      </c>
      <c r="AP9" s="438" t="s">
        <v>437</v>
      </c>
      <c r="AQ9" s="623"/>
    </row>
    <row r="10" spans="1:74" ht="36" customHeight="1" thickBot="1">
      <c r="A10" s="511" t="s">
        <v>43</v>
      </c>
      <c r="B10" s="402" t="s">
        <v>76</v>
      </c>
      <c r="C10" s="404" t="s">
        <v>76</v>
      </c>
      <c r="D10" s="398" t="s">
        <v>89</v>
      </c>
      <c r="E10" s="398" t="s">
        <v>90</v>
      </c>
      <c r="F10" s="402" t="s">
        <v>76</v>
      </c>
      <c r="G10" s="405" t="s">
        <v>89</v>
      </c>
      <c r="H10" s="405" t="s">
        <v>90</v>
      </c>
      <c r="I10" s="404" t="s">
        <v>76</v>
      </c>
      <c r="J10" s="398" t="s">
        <v>89</v>
      </c>
      <c r="K10" s="398" t="s">
        <v>90</v>
      </c>
      <c r="L10" s="402" t="s">
        <v>76</v>
      </c>
      <c r="M10" s="427" t="s">
        <v>89</v>
      </c>
      <c r="N10" s="410" t="s">
        <v>90</v>
      </c>
      <c r="O10" s="404" t="s">
        <v>76</v>
      </c>
      <c r="P10" s="428" t="s">
        <v>89</v>
      </c>
      <c r="Q10" s="429" t="s">
        <v>90</v>
      </c>
      <c r="R10" s="402" t="s">
        <v>76</v>
      </c>
      <c r="S10" s="427" t="s">
        <v>89</v>
      </c>
      <c r="T10" s="430" t="s">
        <v>90</v>
      </c>
      <c r="U10" s="415" t="s">
        <v>76</v>
      </c>
      <c r="V10" s="428" t="s">
        <v>89</v>
      </c>
      <c r="W10" s="429" t="s">
        <v>90</v>
      </c>
      <c r="X10" s="417" t="s">
        <v>76</v>
      </c>
      <c r="Y10" s="431" t="s">
        <v>89</v>
      </c>
      <c r="Z10" s="422" t="s">
        <v>90</v>
      </c>
      <c r="AA10" s="21" t="s">
        <v>45</v>
      </c>
      <c r="AB10" s="396" t="s">
        <v>76</v>
      </c>
      <c r="AC10" s="419" t="s">
        <v>89</v>
      </c>
      <c r="AD10" s="409" t="s">
        <v>90</v>
      </c>
      <c r="AE10" s="436" t="s">
        <v>76</v>
      </c>
      <c r="AF10" s="405" t="s">
        <v>89</v>
      </c>
      <c r="AG10" s="422" t="s">
        <v>90</v>
      </c>
      <c r="AH10" s="440" t="s">
        <v>392</v>
      </c>
      <c r="AI10" s="420" t="s">
        <v>89</v>
      </c>
      <c r="AJ10" s="409" t="s">
        <v>90</v>
      </c>
      <c r="AK10" s="412" t="s">
        <v>392</v>
      </c>
      <c r="AL10" s="405" t="s">
        <v>89</v>
      </c>
      <c r="AM10" s="405" t="s">
        <v>90</v>
      </c>
      <c r="AN10" s="440" t="s">
        <v>386</v>
      </c>
      <c r="AO10" s="685"/>
      <c r="AP10" s="398" t="s">
        <v>89</v>
      </c>
      <c r="AQ10" s="409" t="s">
        <v>90</v>
      </c>
    </row>
    <row r="11" spans="1:74" s="5" customFormat="1" ht="19.5" customHeight="1" thickBot="1">
      <c r="A11" s="9" t="s">
        <v>0</v>
      </c>
      <c r="B11" s="495">
        <f>'FY2013 by Approp Title'!B11*Inflator!$E$2</f>
        <v>277354.29824561405</v>
      </c>
      <c r="C11" s="495">
        <f>'FY2013 by Approp Title'!C11*Inflator!$E$3</f>
        <v>288965.2372488408</v>
      </c>
      <c r="D11" s="491">
        <f>C11-B11</f>
        <v>11610.939003226755</v>
      </c>
      <c r="E11" s="492">
        <f>D11/B11</f>
        <v>4.1863201964674669E-2</v>
      </c>
      <c r="F11" s="495">
        <f>'FY2013 by Approp Title'!F11*Inflator!$E$4</f>
        <v>303320.97601827182</v>
      </c>
      <c r="G11" s="491">
        <f>F11-C11</f>
        <v>14355.738769431016</v>
      </c>
      <c r="H11" s="492">
        <f>G11/C11</f>
        <v>4.9679812375038913E-2</v>
      </c>
      <c r="I11" s="495">
        <f>'FY2013 by Approp Title'!I11*Inflator!$E$5</f>
        <v>261407.16697657126</v>
      </c>
      <c r="J11" s="491">
        <f>I11-F11</f>
        <v>-41913.809041700559</v>
      </c>
      <c r="K11" s="492">
        <f>J11/F11</f>
        <v>-0.13818302180056188</v>
      </c>
      <c r="L11" s="495">
        <f>'FY2013 by Approp Title'!L11*Inflator!$E$6</f>
        <v>285777.85241730278</v>
      </c>
      <c r="M11" s="491">
        <f>L11-I11</f>
        <v>24370.685440731526</v>
      </c>
      <c r="N11" s="497">
        <f>M11/I11</f>
        <v>9.3228834245832906E-2</v>
      </c>
      <c r="O11" s="498">
        <f>'FY2013 by Approp Title'!O11*Inflator!$E$7</f>
        <v>337781.05455825408</v>
      </c>
      <c r="P11" s="18">
        <f>O11-L11</f>
        <v>52003.202140951296</v>
      </c>
      <c r="Q11" s="42">
        <f>P11/L11</f>
        <v>0.18197072201737455</v>
      </c>
      <c r="R11" s="498">
        <f>'FY2013 by Approp Title'!R11*Inflator!$E$8</f>
        <v>384791.78071961977</v>
      </c>
      <c r="S11" s="18">
        <f>R11-O11</f>
        <v>47010.726161365688</v>
      </c>
      <c r="T11" s="42">
        <f>S11/O11</f>
        <v>0.13917514178776469</v>
      </c>
      <c r="U11" s="498">
        <f>'FY2013 by Approp Title'!U11*Inflator!$E$9</f>
        <v>412647.44164456229</v>
      </c>
      <c r="V11" s="22">
        <f>U11-R11</f>
        <v>27855.660924942524</v>
      </c>
      <c r="W11" s="41">
        <f>V11/R11</f>
        <v>7.2391517492520652E-2</v>
      </c>
      <c r="X11" s="498">
        <f>'FY2013 by Approp Title'!X11*Inflator!$E$10</f>
        <v>412280.23563035892</v>
      </c>
      <c r="Y11" s="35">
        <f>X11-U11</f>
        <v>-367.20601420337334</v>
      </c>
      <c r="Z11" s="41">
        <f>Y11/U11</f>
        <v>-8.8987832504162153E-4</v>
      </c>
      <c r="AA11" s="43" t="e">
        <f>'FY 2013 by Agency'!#REF!</f>
        <v>#REF!</v>
      </c>
      <c r="AB11" s="498">
        <f>'FY2013 by Approp Title'!AB11*Inflator!$E$11</f>
        <v>439332.4969735585</v>
      </c>
      <c r="AC11" s="35">
        <f t="shared" ref="AC11:AC18" si="0">AB11-X11</f>
        <v>27052.261343199585</v>
      </c>
      <c r="AD11" s="42">
        <f t="shared" ref="AD11:AD18" si="1">AC11/X11</f>
        <v>6.5616197443561244E-2</v>
      </c>
      <c r="AE11" s="498">
        <f>'FY2013 by Approp Title'!AE11*Inflator!$E$12</f>
        <v>371593.44235588977</v>
      </c>
      <c r="AF11" s="35">
        <f t="shared" ref="AF11:AF18" si="2">AE11-AB11</f>
        <v>-67739.054617668735</v>
      </c>
      <c r="AG11" s="500">
        <f t="shared" ref="AG11:AG18" si="3">AF11/AB11</f>
        <v>-0.15418630555286614</v>
      </c>
      <c r="AH11" s="498">
        <f>'FY2013 by Approp Title'!AH11*Inflator!$E$13</f>
        <v>494446.86577942636</v>
      </c>
      <c r="AI11" s="22">
        <f>AH11-AE11</f>
        <v>122853.42342353659</v>
      </c>
      <c r="AJ11" s="500">
        <f>AI11/AE11</f>
        <v>0.33061246356945934</v>
      </c>
      <c r="AK11" s="498">
        <f>'FY2013 by Approp Title'!AK11*Inflator!$E$14</f>
        <v>487474.5028366677</v>
      </c>
      <c r="AL11" s="502">
        <f>AK11-AH11</f>
        <v>-6972.3629427586566</v>
      </c>
      <c r="AM11" s="499">
        <f>AL11/AH11</f>
        <v>-1.4101339143423836E-2</v>
      </c>
      <c r="AN11" s="746">
        <f>'FY2013 by Approp Title'!AN11*Inflator!E15</f>
        <v>541241</v>
      </c>
      <c r="AO11" s="747">
        <f>'FY 2013 by Agency'!BO41</f>
        <v>541227</v>
      </c>
      <c r="AP11" s="748">
        <f>AO11-AK11</f>
        <v>53752.4971633323</v>
      </c>
      <c r="AQ11" s="749">
        <f>AP11/AK11</f>
        <v>0.11026729982910001</v>
      </c>
    </row>
    <row r="12" spans="1:74" s="115" customFormat="1" ht="19.5" customHeight="1" thickBot="1">
      <c r="A12" s="229" t="s">
        <v>50</v>
      </c>
      <c r="B12" s="496">
        <f>'FY2013 by Approp Title'!B12*Inflator!$E$2</f>
        <v>122608.45693779906</v>
      </c>
      <c r="C12" s="496">
        <f>'FY2013 by Approp Title'!C12*Inflator!$E$3</f>
        <v>140688.75425038641</v>
      </c>
      <c r="D12" s="493">
        <f t="shared" ref="D12:D18" si="4">C12-B12</f>
        <v>18080.297312587354</v>
      </c>
      <c r="E12" s="494">
        <f t="shared" ref="E12:E18" si="5">D12/B12</f>
        <v>0.14746370490381211</v>
      </c>
      <c r="F12" s="496">
        <f>'FY2013 by Approp Title'!F12*Inflator!$E$4</f>
        <v>147747.67872097451</v>
      </c>
      <c r="G12" s="493">
        <f t="shared" ref="G12:G18" si="6">F12-C12</f>
        <v>7058.9244705880992</v>
      </c>
      <c r="H12" s="494">
        <f t="shared" ref="H12:H18" si="7">G12/C12</f>
        <v>5.0174049149836093E-2</v>
      </c>
      <c r="I12" s="496">
        <f>'FY2013 by Approp Title'!I12*Inflator!$E$5</f>
        <v>170524.25139457051</v>
      </c>
      <c r="J12" s="493">
        <f t="shared" ref="J12:J18" si="8">I12-F12</f>
        <v>22776.572673596005</v>
      </c>
      <c r="K12" s="494">
        <f t="shared" ref="K12:K18" si="9">J12/F12</f>
        <v>0.15415858219072381</v>
      </c>
      <c r="L12" s="496">
        <f>'FY2013 by Approp Title'!L12*Inflator!$E$6</f>
        <v>186889.99999999997</v>
      </c>
      <c r="M12" s="493">
        <f t="shared" ref="M12:M18" si="10">L12-I12</f>
        <v>16365.748605429457</v>
      </c>
      <c r="N12" s="503">
        <f t="shared" ref="N12:N18" si="11">M12/I12</f>
        <v>9.5973144415460787E-2</v>
      </c>
      <c r="O12" s="504">
        <f>'FY2013 by Approp Title'!O12*Inflator!$E$7</f>
        <v>236330.24216825058</v>
      </c>
      <c r="P12" s="230">
        <f t="shared" ref="P12:P18" si="12">O12-L12</f>
        <v>49440.24216825061</v>
      </c>
      <c r="Q12" s="231">
        <f t="shared" ref="Q12:Q18" si="13">P12/L12</f>
        <v>0.26454193465809095</v>
      </c>
      <c r="R12" s="504">
        <f>'FY2013 by Approp Title'!R12*Inflator!$E$8</f>
        <v>290390.58859470469</v>
      </c>
      <c r="S12" s="230">
        <f t="shared" ref="S12:S18" si="14">R12-O12</f>
        <v>54060.346426454111</v>
      </c>
      <c r="T12" s="231">
        <f t="shared" ref="T12:T18" si="15">S12/O12</f>
        <v>0.22874916866529055</v>
      </c>
      <c r="U12" s="504">
        <f>'FY2013 by Approp Title'!U12*Inflator!$E$9</f>
        <v>420592.63262599468</v>
      </c>
      <c r="V12" s="233">
        <f t="shared" ref="V12:V18" si="16">U12-R12</f>
        <v>130202.04403128999</v>
      </c>
      <c r="W12" s="234">
        <f t="shared" ref="W12:W17" si="17">V12/R12</f>
        <v>0.44836867703385425</v>
      </c>
      <c r="X12" s="504">
        <f>'FY2013 by Approp Title'!X12*Inflator!$E$10</f>
        <v>435146.86567164183</v>
      </c>
      <c r="Y12" s="235">
        <f t="shared" ref="Y12:Y18" si="18">X12-U12</f>
        <v>14554.233045647154</v>
      </c>
      <c r="Z12" s="234">
        <f t="shared" ref="Z12:Z18" si="19">Y12/U12</f>
        <v>3.4604108385772117E-2</v>
      </c>
      <c r="AA12" s="236" t="e">
        <f>'FY 2013 by Agency'!#REF!</f>
        <v>#REF!</v>
      </c>
      <c r="AB12" s="504">
        <f>'FY2013 by Approp Title'!AB12*Inflator!$E$11</f>
        <v>423284.2809812043</v>
      </c>
      <c r="AC12" s="235">
        <f t="shared" si="0"/>
        <v>-11862.584690437536</v>
      </c>
      <c r="AD12" s="231">
        <f t="shared" si="1"/>
        <v>-2.7261105677798773E-2</v>
      </c>
      <c r="AE12" s="504">
        <f>'FY2013 by Approp Title'!AE12*Inflator!$E$12</f>
        <v>283022.95426065166</v>
      </c>
      <c r="AF12" s="235">
        <f t="shared" si="2"/>
        <v>-140261.32672055264</v>
      </c>
      <c r="AG12" s="501">
        <f t="shared" si="3"/>
        <v>-0.3313643643827654</v>
      </c>
      <c r="AH12" s="504">
        <f>'FY2013 by Approp Title'!AH12*Inflator!$E$13</f>
        <v>287271.14839985973</v>
      </c>
      <c r="AI12" s="233">
        <f t="shared" ref="AI12:AI18" si="20">AH12-AE12</f>
        <v>4248.1941392080626</v>
      </c>
      <c r="AJ12" s="501">
        <f t="shared" ref="AJ12:AJ18" si="21">AI12/AE12</f>
        <v>1.5010069237337064E-2</v>
      </c>
      <c r="AK12" s="504">
        <f>'FY2013 by Approp Title'!AK12*Inflator!$E$14</f>
        <v>272596.91489997017</v>
      </c>
      <c r="AL12" s="505">
        <f t="shared" ref="AL12:AL18" si="22">AK12-AH12</f>
        <v>-14674.233499889553</v>
      </c>
      <c r="AM12" s="506">
        <f t="shared" ref="AM12:AM18" si="23">AL12/AH12</f>
        <v>-5.1081473310588536E-2</v>
      </c>
      <c r="AN12" s="750">
        <f>'FY2013 by Approp Title'!AN12*Inflator!E15</f>
        <v>297349</v>
      </c>
      <c r="AO12" s="751">
        <f>'FY 2013 by Agency'!BO74</f>
        <v>291790</v>
      </c>
      <c r="AP12" s="755">
        <f t="shared" ref="AP12:AP18" si="24">AO12-AK12</f>
        <v>19193.085100029828</v>
      </c>
      <c r="AQ12" s="501">
        <f t="shared" ref="AQ12:AQ18" si="25">AP12/AK12</f>
        <v>7.0408299034025235E-2</v>
      </c>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s="5" customFormat="1" ht="19.5" customHeight="1" thickBot="1">
      <c r="A13" s="9" t="s">
        <v>51</v>
      </c>
      <c r="B13" s="495">
        <f>'FY2013 by Approp Title'!B13*Inflator!$E$2</f>
        <v>957546.37400318985</v>
      </c>
      <c r="C13" s="495">
        <f>'FY2013 by Approp Title'!C13*Inflator!$E$3</f>
        <v>941919.56027820718</v>
      </c>
      <c r="D13" s="491">
        <f t="shared" si="4"/>
        <v>-15626.813724982669</v>
      </c>
      <c r="E13" s="492">
        <f t="shared" si="5"/>
        <v>-1.631964168967822E-2</v>
      </c>
      <c r="F13" s="495">
        <f>'FY2013 by Approp Title'!F13*Inflator!$E$4</f>
        <v>822867.02702702698</v>
      </c>
      <c r="G13" s="491">
        <f t="shared" si="6"/>
        <v>-119052.5332511802</v>
      </c>
      <c r="H13" s="492">
        <f t="shared" si="7"/>
        <v>-0.12639352474644078</v>
      </c>
      <c r="I13" s="495">
        <f>'FY2013 by Approp Title'!I13*Inflator!$E$5</f>
        <v>833361.71141688374</v>
      </c>
      <c r="J13" s="491">
        <f t="shared" si="8"/>
        <v>10494.68438985676</v>
      </c>
      <c r="K13" s="492">
        <f t="shared" si="9"/>
        <v>1.2753803524943118E-2</v>
      </c>
      <c r="L13" s="495">
        <f>'FY2013 by Approp Title'!L13*Inflator!$E$6</f>
        <v>921528.70665212639</v>
      </c>
      <c r="M13" s="491">
        <f t="shared" si="10"/>
        <v>88166.995235242648</v>
      </c>
      <c r="N13" s="497">
        <f t="shared" si="11"/>
        <v>0.10579679151006458</v>
      </c>
      <c r="O13" s="498">
        <f>'FY2013 by Approp Title'!O13*Inflator!$E$7</f>
        <v>963385.02851108753</v>
      </c>
      <c r="P13" s="18">
        <f t="shared" si="12"/>
        <v>41856.321858961135</v>
      </c>
      <c r="Q13" s="42">
        <f t="shared" si="13"/>
        <v>4.5420529557916138E-2</v>
      </c>
      <c r="R13" s="498">
        <f>'FY2013 by Approp Title'!R13*Inflator!$E$8</f>
        <v>1032027.7338764425</v>
      </c>
      <c r="S13" s="18">
        <f t="shared" si="14"/>
        <v>68642.70536535501</v>
      </c>
      <c r="T13" s="42">
        <f t="shared" si="15"/>
        <v>7.1251579933147166E-2</v>
      </c>
      <c r="U13" s="498">
        <f>'FY2013 by Approp Title'!U13*Inflator!$E$9</f>
        <v>1083202.6326259947</v>
      </c>
      <c r="V13" s="22">
        <f t="shared" si="16"/>
        <v>51174.898749552201</v>
      </c>
      <c r="W13" s="41">
        <f t="shared" si="17"/>
        <v>4.9586747593819036E-2</v>
      </c>
      <c r="X13" s="498">
        <f>'FY2013 by Approp Title'!X13*Inflator!$E$10</f>
        <v>1127049.3737694507</v>
      </c>
      <c r="Y13" s="35">
        <f t="shared" si="18"/>
        <v>43846.741143455962</v>
      </c>
      <c r="Z13" s="41">
        <f t="shared" si="19"/>
        <v>4.0478798539437491E-2</v>
      </c>
      <c r="AA13" s="43" t="e">
        <f>'FY 2013 by Agency'!#REF!</f>
        <v>#REF!</v>
      </c>
      <c r="AB13" s="498">
        <f>'FY2013 by Approp Title'!AB13*Inflator!$E$11</f>
        <v>1096828.7180630777</v>
      </c>
      <c r="AC13" s="35">
        <f t="shared" si="0"/>
        <v>-30220.655706373043</v>
      </c>
      <c r="AD13" s="42">
        <f t="shared" si="1"/>
        <v>-2.6813959006338071E-2</v>
      </c>
      <c r="AE13" s="498">
        <f>'FY2013 by Approp Title'!AE13*Inflator!$E$12</f>
        <v>1071048.1096491229</v>
      </c>
      <c r="AF13" s="35">
        <f t="shared" si="2"/>
        <v>-25780.608413954731</v>
      </c>
      <c r="AG13" s="500">
        <f t="shared" si="3"/>
        <v>-2.3504680347430609E-2</v>
      </c>
      <c r="AH13" s="498">
        <f>'FY2013 by Approp Title'!AH13*Inflator!$E$13</f>
        <v>1069193.0762376997</v>
      </c>
      <c r="AI13" s="22">
        <f t="shared" si="20"/>
        <v>-1855.0334114232101</v>
      </c>
      <c r="AJ13" s="500">
        <f t="shared" si="21"/>
        <v>-1.7319795392112889E-3</v>
      </c>
      <c r="AK13" s="498">
        <f>'FY2013 by Approp Title'!AK13*Inflator!$E$14</f>
        <v>987575.07673932519</v>
      </c>
      <c r="AL13" s="502">
        <f t="shared" si="22"/>
        <v>-81617.999498374527</v>
      </c>
      <c r="AM13" s="499">
        <f t="shared" si="23"/>
        <v>-7.6336071858577451E-2</v>
      </c>
      <c r="AN13" s="753">
        <f>'FY2013 by Approp Title'!AN13*Inflator!E15</f>
        <v>994221</v>
      </c>
      <c r="AO13" s="754">
        <f>'FY 2013 by Agency'!BO109</f>
        <v>995575</v>
      </c>
      <c r="AP13" s="752">
        <f t="shared" si="24"/>
        <v>7999.9232606748119</v>
      </c>
      <c r="AQ13" s="500">
        <f t="shared" si="25"/>
        <v>8.1005722492391609E-3</v>
      </c>
    </row>
    <row r="14" spans="1:74" s="115" customFormat="1" ht="19.5" customHeight="1" thickBot="1">
      <c r="A14" s="229" t="s">
        <v>52</v>
      </c>
      <c r="B14" s="496">
        <f>'FY2013 by Approp Title'!B14*Inflator!$E$2</f>
        <v>1029210.5733652313</v>
      </c>
      <c r="C14" s="496">
        <f>'FY2013 by Approp Title'!C14*Inflator!$E$3</f>
        <v>1286729.9034003092</v>
      </c>
      <c r="D14" s="493">
        <f t="shared" si="4"/>
        <v>257519.33003507787</v>
      </c>
      <c r="E14" s="494">
        <f t="shared" si="5"/>
        <v>0.25021053679332261</v>
      </c>
      <c r="F14" s="496">
        <f>'FY2013 by Approp Title'!F14*Inflator!$E$4</f>
        <v>1235522.8892272555</v>
      </c>
      <c r="G14" s="493">
        <f t="shared" si="6"/>
        <v>-51207.014173053671</v>
      </c>
      <c r="H14" s="494">
        <f t="shared" si="7"/>
        <v>-3.9796241649264659E-2</v>
      </c>
      <c r="I14" s="496">
        <f>'FY2013 by Approp Title'!I14*Inflator!$E$5</f>
        <v>1186092.813685385</v>
      </c>
      <c r="J14" s="493">
        <f t="shared" si="8"/>
        <v>-49430.075541870436</v>
      </c>
      <c r="K14" s="494">
        <f t="shared" si="9"/>
        <v>-4.0007413843045792E-2</v>
      </c>
      <c r="L14" s="496">
        <f>'FY2013 by Approp Title'!L14*Inflator!$E$6</f>
        <v>1296981.1501272263</v>
      </c>
      <c r="M14" s="493">
        <f t="shared" si="10"/>
        <v>110888.33644184121</v>
      </c>
      <c r="N14" s="503">
        <f t="shared" si="11"/>
        <v>9.3490437815985872E-2</v>
      </c>
      <c r="O14" s="504">
        <f>'FY2013 by Approp Title'!O14*Inflator!$E$7</f>
        <v>1370628.3315733895</v>
      </c>
      <c r="P14" s="230">
        <f t="shared" si="12"/>
        <v>73647.181446163217</v>
      </c>
      <c r="Q14" s="231">
        <f t="shared" si="13"/>
        <v>5.6783540330512021E-2</v>
      </c>
      <c r="R14" s="504">
        <f>'FY2013 by Approp Title'!R14*Inflator!$E$8</f>
        <v>1413606.0631364561</v>
      </c>
      <c r="S14" s="230">
        <f t="shared" si="14"/>
        <v>42977.731563066598</v>
      </c>
      <c r="T14" s="231">
        <f t="shared" si="15"/>
        <v>3.1356225880528124E-2</v>
      </c>
      <c r="U14" s="504">
        <f>'FY2013 by Approp Title'!U14*Inflator!$E$9</f>
        <v>1448416.6531830237</v>
      </c>
      <c r="V14" s="233">
        <f t="shared" si="16"/>
        <v>34810.59004656761</v>
      </c>
      <c r="W14" s="234">
        <f t="shared" si="17"/>
        <v>2.4625382526537259E-2</v>
      </c>
      <c r="X14" s="504">
        <f>'FY2013 by Approp Title'!X14*Inflator!$E$10</f>
        <v>1561917.8386789458</v>
      </c>
      <c r="Y14" s="235">
        <f t="shared" si="18"/>
        <v>113501.18549592211</v>
      </c>
      <c r="Z14" s="234">
        <f t="shared" si="19"/>
        <v>7.8362248353395558E-2</v>
      </c>
      <c r="AA14" s="236" t="e">
        <f>'FY 2013 by Agency'!#REF!</f>
        <v>#REF!</v>
      </c>
      <c r="AB14" s="504">
        <f>'FY2013 by Approp Title'!AB14*Inflator!$E$11</f>
        <v>1549178.4020388662</v>
      </c>
      <c r="AC14" s="235">
        <f t="shared" si="0"/>
        <v>-12739.436640079599</v>
      </c>
      <c r="AD14" s="231">
        <f t="shared" si="1"/>
        <v>-8.1562783423067154E-3</v>
      </c>
      <c r="AE14" s="504">
        <f>'FY2013 by Approp Title'!AE14*Inflator!$E$12</f>
        <v>1497785.598997494</v>
      </c>
      <c r="AF14" s="235">
        <f t="shared" si="2"/>
        <v>-51392.803041372215</v>
      </c>
      <c r="AG14" s="501">
        <f t="shared" si="3"/>
        <v>-3.3174231562829948E-2</v>
      </c>
      <c r="AH14" s="504">
        <f>'FY2013 by Approp Title'!AH14*Inflator!$E$13</f>
        <v>1557586.1806060306</v>
      </c>
      <c r="AI14" s="233">
        <f t="shared" si="20"/>
        <v>59800.581608536653</v>
      </c>
      <c r="AJ14" s="501">
        <f t="shared" si="21"/>
        <v>3.9925995849180752E-2</v>
      </c>
      <c r="AK14" s="504">
        <f>'FY2013 by Approp Title'!AK14*Inflator!$E$14</f>
        <v>1627026.1188414453</v>
      </c>
      <c r="AL14" s="505">
        <f t="shared" si="22"/>
        <v>69439.93823541468</v>
      </c>
      <c r="AM14" s="506">
        <f t="shared" si="23"/>
        <v>4.4581763179483765E-2</v>
      </c>
      <c r="AN14" s="750">
        <f>'FY2013 by Approp Title'!AN14*Inflator!E15</f>
        <v>1661274</v>
      </c>
      <c r="AO14" s="751">
        <f>'FY 2013 by Agency'!BO133</f>
        <v>1667784</v>
      </c>
      <c r="AP14" s="755">
        <f t="shared" si="24"/>
        <v>40757.881158554694</v>
      </c>
      <c r="AQ14" s="501">
        <f t="shared" si="25"/>
        <v>2.5050538947449175E-2</v>
      </c>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s="5" customFormat="1" ht="19.5" customHeight="1" thickBot="1">
      <c r="A15" s="9" t="s">
        <v>53</v>
      </c>
      <c r="B15" s="495">
        <f>'FY2013 by Approp Title'!B15*Inflator!$E$2</f>
        <v>1071684.2185007976</v>
      </c>
      <c r="C15" s="495">
        <f>'FY2013 by Approp Title'!C15*Inflator!$E$3</f>
        <v>1225865.2635239568</v>
      </c>
      <c r="D15" s="491">
        <f t="shared" si="4"/>
        <v>154181.04502315912</v>
      </c>
      <c r="E15" s="492">
        <f t="shared" si="5"/>
        <v>0.14386798122197444</v>
      </c>
      <c r="F15" s="495">
        <f>'FY2013 by Approp Title'!F15*Inflator!$E$4</f>
        <v>1350305.9581271412</v>
      </c>
      <c r="G15" s="491">
        <f t="shared" si="6"/>
        <v>124440.69460318447</v>
      </c>
      <c r="H15" s="492">
        <f t="shared" si="7"/>
        <v>0.10151253837265824</v>
      </c>
      <c r="I15" s="495">
        <f>'FY2013 by Approp Title'!I15*Inflator!$E$5</f>
        <v>1345479.105987356</v>
      </c>
      <c r="J15" s="491">
        <f t="shared" si="8"/>
        <v>-4826.8521397851873</v>
      </c>
      <c r="K15" s="492">
        <f t="shared" si="9"/>
        <v>-3.5746358895431193E-3</v>
      </c>
      <c r="L15" s="495">
        <f>'FY2013 by Approp Title'!L15*Inflator!$E$6</f>
        <v>1348661.3827699018</v>
      </c>
      <c r="M15" s="491">
        <f t="shared" si="10"/>
        <v>3182.2767825457267</v>
      </c>
      <c r="N15" s="497">
        <f t="shared" si="11"/>
        <v>2.3651625420154474E-3</v>
      </c>
      <c r="O15" s="498">
        <f>'FY2013 by Approp Title'!O15*Inflator!$E$7</f>
        <v>1415632.3956353394</v>
      </c>
      <c r="P15" s="18">
        <f t="shared" si="12"/>
        <v>66971.01286543766</v>
      </c>
      <c r="Q15" s="42">
        <f t="shared" si="13"/>
        <v>4.965739637913525E-2</v>
      </c>
      <c r="R15" s="498">
        <f>'FY2013 by Approp Title'!R15*Inflator!$E$8</f>
        <v>1457412.119484046</v>
      </c>
      <c r="S15" s="18">
        <f t="shared" si="14"/>
        <v>41779.723848706577</v>
      </c>
      <c r="T15" s="42">
        <f t="shared" si="15"/>
        <v>2.9513116524827569E-2</v>
      </c>
      <c r="U15" s="498">
        <f>'FY2013 by Approp Title'!U15*Inflator!$E$9</f>
        <v>1653695.9622015913</v>
      </c>
      <c r="V15" s="22">
        <f t="shared" si="16"/>
        <v>196283.84271754534</v>
      </c>
      <c r="W15" s="41">
        <f t="shared" si="17"/>
        <v>0.1346797107650195</v>
      </c>
      <c r="X15" s="498">
        <f>'FY2013 by Approp Title'!X15*Inflator!$E$10</f>
        <v>1734046.1238488411</v>
      </c>
      <c r="Y15" s="35">
        <f t="shared" si="18"/>
        <v>80350.161647249712</v>
      </c>
      <c r="Z15" s="41">
        <f t="shared" si="19"/>
        <v>4.858823114031087E-2</v>
      </c>
      <c r="AA15" s="43" t="e">
        <f>'FY 2013 by Agency'!#REF!</f>
        <v>#REF!</v>
      </c>
      <c r="AB15" s="498">
        <f>'FY2013 by Approp Title'!AB15*Inflator!$E$11</f>
        <v>1564635.5673781461</v>
      </c>
      <c r="AC15" s="35">
        <f t="shared" si="0"/>
        <v>-169410.55647069495</v>
      </c>
      <c r="AD15" s="42">
        <f t="shared" si="1"/>
        <v>-9.7696684154326849E-2</v>
      </c>
      <c r="AE15" s="498">
        <f>'FY2013 by Approp Title'!AE15*Inflator!$E$12</f>
        <v>1566069.2180451129</v>
      </c>
      <c r="AF15" s="35">
        <f t="shared" si="2"/>
        <v>1433.6506669668015</v>
      </c>
      <c r="AG15" s="500">
        <f t="shared" si="3"/>
        <v>9.1628408356404963E-4</v>
      </c>
      <c r="AH15" s="498">
        <f>'FY2013 by Approp Title'!AH15*Inflator!$E$13</f>
        <v>1531832.1712737936</v>
      </c>
      <c r="AI15" s="22">
        <f t="shared" si="20"/>
        <v>-34237.04677131935</v>
      </c>
      <c r="AJ15" s="500">
        <f t="shared" si="21"/>
        <v>-2.18617710997836E-2</v>
      </c>
      <c r="AK15" s="498">
        <f>'FY2013 by Approp Title'!AK15*Inflator!$E$14</f>
        <v>1609728.6855777844</v>
      </c>
      <c r="AL15" s="502">
        <f t="shared" si="22"/>
        <v>77896.514303990873</v>
      </c>
      <c r="AM15" s="499">
        <f t="shared" si="23"/>
        <v>5.0851859469184607E-2</v>
      </c>
      <c r="AN15" s="753">
        <f>'FY2013 by Approp Title'!AN15*Inflator!E15</f>
        <v>1646039</v>
      </c>
      <c r="AO15" s="754">
        <f>'FY 2013 by Agency'!BO166</f>
        <v>1653665</v>
      </c>
      <c r="AP15" s="752">
        <f t="shared" si="24"/>
        <v>43936.314422215568</v>
      </c>
      <c r="AQ15" s="500">
        <f t="shared" si="25"/>
        <v>2.7294235864626704E-2</v>
      </c>
    </row>
    <row r="16" spans="1:74" s="115" customFormat="1" ht="19.5" customHeight="1" thickBot="1">
      <c r="A16" s="229" t="s">
        <v>30</v>
      </c>
      <c r="B16" s="496">
        <f>'FY2013 by Approp Title'!B16*Inflator!$E$2</f>
        <v>364290.52950558218</v>
      </c>
      <c r="C16" s="496">
        <f>'FY2013 by Approp Title'!C16*Inflator!$E$3</f>
        <v>388467.02782071102</v>
      </c>
      <c r="D16" s="493">
        <f t="shared" si="4"/>
        <v>24176.498315128847</v>
      </c>
      <c r="E16" s="494">
        <f t="shared" si="5"/>
        <v>6.6365980877793801E-2</v>
      </c>
      <c r="F16" s="496">
        <f>'FY2013 by Approp Title'!F16*Inflator!$E$4</f>
        <v>398484.3783783784</v>
      </c>
      <c r="G16" s="493">
        <f t="shared" si="6"/>
        <v>10017.350557667378</v>
      </c>
      <c r="H16" s="494">
        <f t="shared" si="7"/>
        <v>2.5786874664406989E-2</v>
      </c>
      <c r="I16" s="496">
        <f>'FY2013 by Approp Title'!I16*Inflator!$E$5</f>
        <v>391150.36370397924</v>
      </c>
      <c r="J16" s="493">
        <f t="shared" si="8"/>
        <v>-7334.0146743991645</v>
      </c>
      <c r="K16" s="494">
        <f t="shared" si="9"/>
        <v>-1.8404773367138614E-2</v>
      </c>
      <c r="L16" s="496">
        <f>'FY2013 by Approp Title'!L16*Inflator!$E$6</f>
        <v>391056.56343147944</v>
      </c>
      <c r="M16" s="493">
        <f t="shared" si="10"/>
        <v>-93.800272499793209</v>
      </c>
      <c r="N16" s="503">
        <f t="shared" si="11"/>
        <v>-2.3980617482125319E-4</v>
      </c>
      <c r="O16" s="504">
        <f>'FY2013 by Approp Title'!O16*Inflator!$E$7</f>
        <v>485124.60190073913</v>
      </c>
      <c r="P16" s="230">
        <f t="shared" si="12"/>
        <v>94068.038469259685</v>
      </c>
      <c r="Q16" s="231">
        <f t="shared" si="13"/>
        <v>0.2405484200132654</v>
      </c>
      <c r="R16" s="504">
        <f>'FY2013 by Approp Title'!R16*Inflator!$E$8</f>
        <v>423078.68228105904</v>
      </c>
      <c r="S16" s="230">
        <f t="shared" si="14"/>
        <v>-62045.919619680091</v>
      </c>
      <c r="T16" s="231">
        <f t="shared" si="15"/>
        <v>-0.12789687304371186</v>
      </c>
      <c r="U16" s="504">
        <f>'FY2013 by Approp Title'!U16*Inflator!$E$9</f>
        <v>484431.31830238726</v>
      </c>
      <c r="V16" s="233">
        <f t="shared" si="16"/>
        <v>61352.636021328217</v>
      </c>
      <c r="W16" s="234">
        <f t="shared" si="17"/>
        <v>0.14501471851652056</v>
      </c>
      <c r="X16" s="504">
        <f>'FY2013 by Approp Title'!X16*Inflator!$E$10</f>
        <v>608356.3817084789</v>
      </c>
      <c r="Y16" s="235">
        <f t="shared" si="18"/>
        <v>123925.06340609165</v>
      </c>
      <c r="Z16" s="234">
        <f t="shared" si="19"/>
        <v>0.25581554850823307</v>
      </c>
      <c r="AA16" s="236" t="e">
        <f>'FY 2013 by Agency'!#REF!</f>
        <v>#REF!</v>
      </c>
      <c r="AB16" s="504">
        <f>'FY2013 by Approp Title'!AB16*Inflator!$E$11</f>
        <v>651978.66581713932</v>
      </c>
      <c r="AC16" s="235">
        <f t="shared" si="0"/>
        <v>43622.284108660417</v>
      </c>
      <c r="AD16" s="231">
        <f t="shared" si="1"/>
        <v>7.1705147542224651E-2</v>
      </c>
      <c r="AE16" s="504">
        <f>'FY2013 by Approp Title'!AE16*Inflator!$E$12</f>
        <v>596356.45175438607</v>
      </c>
      <c r="AF16" s="235">
        <f t="shared" si="2"/>
        <v>-55622.21406275325</v>
      </c>
      <c r="AG16" s="501">
        <f t="shared" si="3"/>
        <v>-8.5312935804487858E-2</v>
      </c>
      <c r="AH16" s="504">
        <f>'FY2013 by Approp Title'!AH16*Inflator!$E$13</f>
        <v>558734.58228872146</v>
      </c>
      <c r="AI16" s="233">
        <f t="shared" si="20"/>
        <v>-37621.869465664611</v>
      </c>
      <c r="AJ16" s="501">
        <f t="shared" si="21"/>
        <v>-6.3086211870412467E-2</v>
      </c>
      <c r="AK16" s="504">
        <f>'FY2013 by Approp Title'!AK16*Inflator!$E$14</f>
        <v>538278.1033144223</v>
      </c>
      <c r="AL16" s="505">
        <f t="shared" si="22"/>
        <v>-20456.478974299156</v>
      </c>
      <c r="AM16" s="506">
        <f t="shared" si="23"/>
        <v>-3.6612158299749627E-2</v>
      </c>
      <c r="AN16" s="750">
        <f>'FY2013 by Approp Title'!AN16*Inflator!E15</f>
        <v>574847</v>
      </c>
      <c r="AO16" s="751">
        <f>'FY 2013 by Agency'!BO188</f>
        <v>571299</v>
      </c>
      <c r="AP16" s="755">
        <f t="shared" si="24"/>
        <v>33020.896685577696</v>
      </c>
      <c r="AQ16" s="501">
        <f t="shared" si="25"/>
        <v>6.1345420670566135E-2</v>
      </c>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s="5" customFormat="1" ht="19.5" customHeight="1" thickBot="1">
      <c r="A17" s="8" t="s">
        <v>54</v>
      </c>
      <c r="B17" s="495">
        <f>'FY2013 by Approp Title'!B17*Inflator!$E$2</f>
        <v>534836.79984051036</v>
      </c>
      <c r="C17" s="495">
        <f>'FY2013 by Approp Title'!C17*Inflator!$E$3</f>
        <v>357224.59737248841</v>
      </c>
      <c r="D17" s="491">
        <f t="shared" si="4"/>
        <v>-177612.20246802195</v>
      </c>
      <c r="E17" s="492">
        <f t="shared" si="5"/>
        <v>-0.33208672724275207</v>
      </c>
      <c r="F17" s="495">
        <f>'FY2013 by Approp Title'!F17*Inflator!$E$4</f>
        <v>360211.28283212788</v>
      </c>
      <c r="G17" s="491">
        <f t="shared" si="6"/>
        <v>2986.6854596394696</v>
      </c>
      <c r="H17" s="492">
        <f t="shared" si="7"/>
        <v>8.3608057272863724E-3</v>
      </c>
      <c r="I17" s="495">
        <f>'FY2013 by Approp Title'!I17*Inflator!$E$5</f>
        <v>371609.02045370033</v>
      </c>
      <c r="J17" s="491">
        <f t="shared" si="8"/>
        <v>11397.737621572451</v>
      </c>
      <c r="K17" s="492">
        <f t="shared" si="9"/>
        <v>3.1641811805445938E-2</v>
      </c>
      <c r="L17" s="495">
        <f>'FY2013 by Approp Title'!L17*Inflator!$E$6</f>
        <v>492868.10396219551</v>
      </c>
      <c r="M17" s="491">
        <f t="shared" si="10"/>
        <v>121259.08350849518</v>
      </c>
      <c r="N17" s="497">
        <f t="shared" si="11"/>
        <v>0.32630823482284965</v>
      </c>
      <c r="O17" s="498">
        <f>'FY2013 by Approp Title'!O17*Inflator!$E$7</f>
        <v>512813.33826117555</v>
      </c>
      <c r="P17" s="18">
        <f t="shared" si="12"/>
        <v>19945.234298980038</v>
      </c>
      <c r="Q17" s="42">
        <f t="shared" si="13"/>
        <v>4.0467691332912663E-2</v>
      </c>
      <c r="R17" s="498">
        <f>'FY2013 by Approp Title'!R17*Inflator!$E$8</f>
        <v>989985.26951799041</v>
      </c>
      <c r="S17" s="18">
        <f t="shared" si="14"/>
        <v>477171.93125681486</v>
      </c>
      <c r="T17" s="42">
        <f t="shared" si="15"/>
        <v>0.93049828398533474</v>
      </c>
      <c r="U17" s="498">
        <f>'FY2013 by Approp Title'!U17*Inflator!$E$9</f>
        <v>682529.31034482759</v>
      </c>
      <c r="V17" s="22">
        <f t="shared" si="16"/>
        <v>-307455.95917316282</v>
      </c>
      <c r="W17" s="41">
        <f t="shared" si="17"/>
        <v>-0.31056619592214607</v>
      </c>
      <c r="X17" s="498">
        <f>'FY2013 by Approp Title'!X17*Inflator!$E$10</f>
        <v>901978.54366465553</v>
      </c>
      <c r="Y17" s="35">
        <f t="shared" si="18"/>
        <v>219449.23331982794</v>
      </c>
      <c r="Z17" s="41">
        <f t="shared" si="19"/>
        <v>0.3215235301894328</v>
      </c>
      <c r="AA17" s="44" t="e">
        <f>'FY 2013 by Agency'!#REF!</f>
        <v>#REF!</v>
      </c>
      <c r="AB17" s="498">
        <f>'FY2013 by Approp Title'!AB17*Inflator!$E$11</f>
        <v>1047682.7480089202</v>
      </c>
      <c r="AC17" s="35">
        <f t="shared" si="0"/>
        <v>145704.2043442647</v>
      </c>
      <c r="AD17" s="42">
        <f t="shared" si="1"/>
        <v>0.16153843721412925</v>
      </c>
      <c r="AE17" s="498">
        <f>'FY2013 by Approp Title'!AE17*Inflator!$E$12</f>
        <v>813824.19360902265</v>
      </c>
      <c r="AF17" s="35">
        <f t="shared" si="2"/>
        <v>-233858.55439989758</v>
      </c>
      <c r="AG17" s="500">
        <f t="shared" si="3"/>
        <v>-0.22321504753641935</v>
      </c>
      <c r="AH17" s="498">
        <f>'FY2013 by Approp Title'!AH17*Inflator!$E$13</f>
        <v>893347.95265063795</v>
      </c>
      <c r="AI17" s="22">
        <f t="shared" si="20"/>
        <v>79523.759041615296</v>
      </c>
      <c r="AJ17" s="500">
        <f t="shared" si="21"/>
        <v>9.7716140250089553E-2</v>
      </c>
      <c r="AK17" s="498">
        <f>'FY2013 by Approp Title'!AK17*Inflator!$E$14</f>
        <v>1017140.4162436549</v>
      </c>
      <c r="AL17" s="502">
        <f t="shared" si="22"/>
        <v>123792.46359301696</v>
      </c>
      <c r="AM17" s="499">
        <f t="shared" si="23"/>
        <v>0.13857138556786791</v>
      </c>
      <c r="AN17" s="753">
        <f>'FY2013 by Approp Title'!AN17*Inflator!E15</f>
        <v>1033696</v>
      </c>
      <c r="AO17" s="754">
        <f>'FY 2013 by Agency'!BO222</f>
        <v>1040106</v>
      </c>
      <c r="AP17" s="752">
        <f t="shared" si="24"/>
        <v>22965.583756345091</v>
      </c>
      <c r="AQ17" s="500">
        <f t="shared" si="25"/>
        <v>2.2578577539134684E-2</v>
      </c>
    </row>
    <row r="18" spans="1:74" s="239" customFormat="1" ht="19.5" customHeight="1" thickBot="1">
      <c r="A18" s="237" t="s">
        <v>48</v>
      </c>
      <c r="B18" s="496">
        <f>'FY2013 by Approp Title'!B18*Inflator!$E$2</f>
        <v>4357531.2503987243</v>
      </c>
      <c r="C18" s="496">
        <f>'FY2013 by Approp Title'!C18*Inflator!$E$3</f>
        <v>4629860.3438948998</v>
      </c>
      <c r="D18" s="493">
        <f t="shared" si="4"/>
        <v>272329.09349617548</v>
      </c>
      <c r="E18" s="494">
        <f t="shared" si="5"/>
        <v>6.2496188288094716E-2</v>
      </c>
      <c r="F18" s="496">
        <f>'FY2013 by Approp Title'!F18*Inflator!$E$4</f>
        <v>4618460.1903311759</v>
      </c>
      <c r="G18" s="493">
        <f t="shared" si="6"/>
        <v>-11400.153563723899</v>
      </c>
      <c r="H18" s="494">
        <f t="shared" si="7"/>
        <v>-2.4623104622921404E-3</v>
      </c>
      <c r="I18" s="496">
        <f>'FY2013 by Approp Title'!I18*Inflator!$E$5</f>
        <v>4559624.4336184459</v>
      </c>
      <c r="J18" s="493">
        <f t="shared" si="8"/>
        <v>-58835.756712730043</v>
      </c>
      <c r="K18" s="494">
        <f t="shared" si="9"/>
        <v>-1.2739258170050635E-2</v>
      </c>
      <c r="L18" s="496">
        <f>'FY2013 by Approp Title'!L18*Inflator!$E$6</f>
        <v>4923763.7593602324</v>
      </c>
      <c r="M18" s="493">
        <f t="shared" si="10"/>
        <v>364139.32574178651</v>
      </c>
      <c r="N18" s="503">
        <f t="shared" si="11"/>
        <v>7.986169278701126E-2</v>
      </c>
      <c r="O18" s="504">
        <f>'FY2013 by Approp Title'!O18*Inflator!$E$7</f>
        <v>5321694.9926082361</v>
      </c>
      <c r="P18" s="230">
        <f t="shared" si="12"/>
        <v>397931.23324800376</v>
      </c>
      <c r="Q18" s="231">
        <f t="shared" si="13"/>
        <v>8.0818506471096174E-2</v>
      </c>
      <c r="R18" s="504">
        <f>'FY2013 by Approp Title'!R18*Inflator!$E$8</f>
        <v>5991292.2376103187</v>
      </c>
      <c r="S18" s="230">
        <f t="shared" si="14"/>
        <v>669597.24500208255</v>
      </c>
      <c r="T18" s="231">
        <f t="shared" si="15"/>
        <v>0.12582405529293661</v>
      </c>
      <c r="U18" s="504">
        <f>'FY2013 by Approp Title'!U18*Inflator!$E$9</f>
        <v>6185515.9509283816</v>
      </c>
      <c r="V18" s="233">
        <f t="shared" si="16"/>
        <v>194223.71331806295</v>
      </c>
      <c r="W18" s="234">
        <f>V18/R18</f>
        <v>3.2417666442445287E-2</v>
      </c>
      <c r="X18" s="504">
        <f>'FY2013 by Approp Title'!X18*Inflator!$E$10</f>
        <v>6780775.3629723731</v>
      </c>
      <c r="Y18" s="235">
        <f t="shared" si="18"/>
        <v>595259.4120439915</v>
      </c>
      <c r="Z18" s="234">
        <f t="shared" si="19"/>
        <v>9.6234399323576109E-2</v>
      </c>
      <c r="AA18" s="238" t="e">
        <f>'FY 2013 by Agency'!#REF!</f>
        <v>#REF!</v>
      </c>
      <c r="AB18" s="504">
        <f>'FY2013 by Approp Title'!AB18*Inflator!$E$11</f>
        <v>6772920.8792609125</v>
      </c>
      <c r="AC18" s="235">
        <f t="shared" si="0"/>
        <v>-7854.4837114606053</v>
      </c>
      <c r="AD18" s="231">
        <f t="shared" si="1"/>
        <v>-1.1583459547047387E-3</v>
      </c>
      <c r="AE18" s="504">
        <f>'FY2013 by Approp Title'!AE18*Inflator!$E$12</f>
        <v>6199699.9686716795</v>
      </c>
      <c r="AF18" s="235">
        <f t="shared" si="2"/>
        <v>-573220.91058923304</v>
      </c>
      <c r="AG18" s="501">
        <f t="shared" si="3"/>
        <v>-8.4634225145678227E-2</v>
      </c>
      <c r="AH18" s="504">
        <f>'FY2013 by Approp Title'!AH18*Inflator!$E$13</f>
        <v>6392411.9772361694</v>
      </c>
      <c r="AI18" s="233">
        <f t="shared" si="20"/>
        <v>192712.00856448989</v>
      </c>
      <c r="AJ18" s="501">
        <f t="shared" si="21"/>
        <v>3.108408625228674E-2</v>
      </c>
      <c r="AK18" s="504">
        <f>'FY2013 by Approp Title'!AK18*Inflator!$E$14</f>
        <v>6539819.81845327</v>
      </c>
      <c r="AL18" s="230">
        <f t="shared" si="22"/>
        <v>147407.84121710062</v>
      </c>
      <c r="AM18" s="507">
        <f t="shared" si="23"/>
        <v>2.3059815566022709E-2</v>
      </c>
      <c r="AN18" s="750">
        <f>'FY2013 by Approp Title'!AN18*Inflator!E15</f>
        <v>6748667</v>
      </c>
      <c r="AO18" s="751">
        <f>'FY 2013 by Agency'!BO242</f>
        <v>6761446</v>
      </c>
      <c r="AP18" s="755">
        <f t="shared" si="24"/>
        <v>221626.18154672999</v>
      </c>
      <c r="AQ18" s="501">
        <f t="shared" si="25"/>
        <v>3.3888729001580763E-2</v>
      </c>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row>
    <row r="19" spans="1:74" ht="19.5" customHeight="1">
      <c r="A19" s="6"/>
      <c r="B19" s="6"/>
      <c r="C19" s="6"/>
      <c r="D19" s="6"/>
      <c r="E19" s="6"/>
      <c r="F19" s="6"/>
      <c r="G19" s="6"/>
      <c r="H19" s="6"/>
      <c r="I19" s="6"/>
      <c r="J19" s="6"/>
      <c r="K19" s="6"/>
      <c r="AA19" s="27"/>
      <c r="AB19" s="219"/>
      <c r="AE19" s="27"/>
      <c r="AF19" s="27"/>
      <c r="AG19" s="27"/>
      <c r="AH19" s="27"/>
    </row>
    <row r="20" spans="1:74" ht="19.5" customHeight="1">
      <c r="A20" s="7"/>
      <c r="B20" s="7"/>
      <c r="C20" s="7"/>
      <c r="D20" s="7"/>
      <c r="E20" s="7"/>
      <c r="F20" s="7"/>
      <c r="G20" s="7"/>
      <c r="H20" s="7"/>
      <c r="I20" s="7"/>
      <c r="J20" s="7"/>
      <c r="K20" s="7"/>
      <c r="AA20" s="27"/>
      <c r="AB20" s="27"/>
      <c r="AE20" s="27"/>
      <c r="AF20" s="27"/>
      <c r="AG20" s="27"/>
      <c r="AH20" s="27"/>
    </row>
    <row r="21" spans="1:74" ht="19.5" customHeight="1">
      <c r="A21" s="7"/>
      <c r="B21" s="7"/>
      <c r="C21" s="7"/>
      <c r="D21" s="7"/>
      <c r="E21" s="7"/>
      <c r="F21" s="7"/>
      <c r="G21" s="7"/>
      <c r="H21" s="7"/>
      <c r="I21" s="7"/>
      <c r="J21" s="7"/>
      <c r="K21" s="7"/>
      <c r="AH21" s="14"/>
    </row>
    <row r="22" spans="1:74" ht="19.5" customHeight="1">
      <c r="A22" s="3"/>
      <c r="B22" s="3"/>
      <c r="C22" s="3"/>
      <c r="D22" s="3"/>
      <c r="E22" s="3"/>
      <c r="F22" s="3"/>
      <c r="G22" s="3"/>
      <c r="H22" s="3"/>
      <c r="I22" s="3"/>
      <c r="J22" s="3"/>
      <c r="K22" s="3"/>
      <c r="L22" s="11"/>
      <c r="M22" s="32"/>
      <c r="N22" s="29"/>
      <c r="O22" s="31"/>
      <c r="P22" s="10"/>
      <c r="Q22" s="10"/>
      <c r="R22" s="31"/>
      <c r="AH22" s="26"/>
    </row>
    <row r="23" spans="1:74" ht="19.5" customHeight="1">
      <c r="A23" s="3"/>
      <c r="B23" s="3"/>
      <c r="C23" s="3"/>
      <c r="D23" s="3"/>
      <c r="E23" s="3"/>
      <c r="F23" s="3"/>
      <c r="G23" s="3"/>
      <c r="H23" s="3"/>
      <c r="I23" s="3"/>
      <c r="J23" s="3"/>
      <c r="K23" s="3"/>
      <c r="L23" s="11"/>
      <c r="M23" s="32"/>
      <c r="N23" s="29"/>
      <c r="O23" s="31"/>
      <c r="P23" s="10"/>
      <c r="Q23" s="10"/>
      <c r="R23" s="31"/>
    </row>
    <row r="24" spans="1:74" ht="19.5" customHeight="1">
      <c r="A24" s="3"/>
      <c r="B24" s="3"/>
      <c r="C24" s="3"/>
      <c r="D24" s="3"/>
      <c r="E24" s="3"/>
      <c r="F24" s="3"/>
      <c r="G24" s="3"/>
      <c r="H24" s="3"/>
      <c r="I24" s="3"/>
      <c r="J24" s="3"/>
      <c r="K24" s="3"/>
      <c r="L24" s="11"/>
      <c r="M24" s="32"/>
      <c r="N24" s="29"/>
      <c r="O24" s="31"/>
      <c r="P24" s="10"/>
      <c r="Q24" s="10"/>
      <c r="R24" s="31"/>
    </row>
    <row r="25" spans="1:74" ht="19.5" customHeight="1">
      <c r="A25" s="3"/>
      <c r="B25" s="3"/>
      <c r="C25" s="3"/>
      <c r="D25" s="3"/>
      <c r="E25" s="3"/>
      <c r="F25" s="3"/>
      <c r="G25" s="3"/>
      <c r="H25" s="3"/>
      <c r="I25" s="3"/>
      <c r="J25" s="3"/>
      <c r="K25" s="3"/>
      <c r="L25" s="11"/>
      <c r="M25" s="32"/>
      <c r="N25" s="29"/>
      <c r="O25" s="31"/>
      <c r="P25" s="10"/>
      <c r="Q25" s="10"/>
      <c r="R25" s="31"/>
    </row>
    <row r="26" spans="1:74" ht="19.5" customHeight="1">
      <c r="A26" s="3"/>
      <c r="B26" s="3"/>
      <c r="C26" s="3"/>
      <c r="D26" s="3"/>
      <c r="E26" s="3"/>
      <c r="F26" s="3"/>
      <c r="G26" s="3"/>
      <c r="H26" s="3"/>
      <c r="I26" s="3"/>
      <c r="J26" s="3"/>
      <c r="K26" s="3"/>
      <c r="L26" s="11"/>
      <c r="M26" s="32"/>
      <c r="N26" s="29"/>
      <c r="O26" s="31"/>
      <c r="P26" s="10"/>
      <c r="Q26" s="10"/>
      <c r="R26" s="31"/>
    </row>
    <row r="27" spans="1:74" ht="19.5" customHeight="1">
      <c r="A27" s="3"/>
      <c r="B27" s="3"/>
      <c r="C27" s="3"/>
      <c r="D27" s="3"/>
      <c r="E27" s="3"/>
      <c r="F27" s="3"/>
      <c r="G27" s="3"/>
      <c r="H27" s="3"/>
      <c r="I27" s="3"/>
      <c r="J27" s="3"/>
      <c r="K27" s="3"/>
      <c r="L27" s="11"/>
      <c r="M27" s="32"/>
      <c r="N27" s="29"/>
      <c r="O27" s="31"/>
      <c r="P27" s="10"/>
      <c r="Q27" s="10"/>
      <c r="R27" s="31"/>
    </row>
    <row r="28" spans="1:74" ht="19.5" customHeight="1">
      <c r="A28" s="3"/>
      <c r="B28" s="3"/>
      <c r="C28" s="3"/>
      <c r="D28" s="3"/>
      <c r="E28" s="3"/>
      <c r="F28" s="3"/>
      <c r="G28" s="3"/>
      <c r="H28" s="3"/>
      <c r="I28" s="3"/>
      <c r="J28" s="3"/>
      <c r="K28" s="3"/>
      <c r="L28" s="11"/>
      <c r="M28" s="32"/>
      <c r="N28" s="29"/>
      <c r="O28" s="31"/>
      <c r="P28" s="10"/>
      <c r="Q28" s="10"/>
      <c r="R28" s="31"/>
    </row>
    <row r="29" spans="1:74" ht="19.5" customHeight="1">
      <c r="A29" s="49"/>
      <c r="B29" s="49"/>
      <c r="C29" s="49"/>
      <c r="D29" s="49"/>
      <c r="E29" s="49"/>
      <c r="F29" s="49"/>
      <c r="G29" s="49"/>
      <c r="H29" s="49"/>
      <c r="I29" s="49"/>
      <c r="J29" s="49"/>
      <c r="K29" s="49"/>
      <c r="L29" s="11"/>
      <c r="M29" s="32"/>
      <c r="N29" s="29"/>
      <c r="O29" s="31"/>
      <c r="P29" s="10"/>
      <c r="Q29" s="10"/>
      <c r="R29" s="31"/>
    </row>
    <row r="30" spans="1:74" ht="19.5" customHeight="1">
      <c r="A30" s="7"/>
      <c r="B30" s="7"/>
      <c r="C30" s="7"/>
      <c r="D30" s="7"/>
      <c r="E30" s="7"/>
      <c r="F30" s="7"/>
      <c r="G30" s="7"/>
      <c r="H30" s="7"/>
      <c r="I30" s="7"/>
      <c r="J30" s="7"/>
      <c r="K30" s="7"/>
      <c r="L30" s="7"/>
      <c r="M30" s="7"/>
      <c r="N30" s="11"/>
      <c r="O30" s="11"/>
    </row>
    <row r="31" spans="1:74" ht="19.5" customHeight="1">
      <c r="A31" s="23"/>
      <c r="B31" s="23"/>
      <c r="C31" s="23"/>
      <c r="D31" s="23"/>
      <c r="E31" s="23"/>
      <c r="F31" s="23"/>
      <c r="G31" s="23"/>
      <c r="H31" s="23"/>
      <c r="I31" s="23"/>
      <c r="J31" s="23"/>
      <c r="K31" s="23"/>
      <c r="L31" s="23"/>
      <c r="M31" s="23"/>
      <c r="N31" s="23"/>
      <c r="O31" s="23"/>
      <c r="P31" s="1"/>
      <c r="Q31" s="34"/>
    </row>
    <row r="32" spans="1:74" ht="19.5" customHeight="1">
      <c r="A32" s="23"/>
      <c r="B32" s="23"/>
      <c r="C32" s="23"/>
      <c r="D32" s="23"/>
      <c r="E32" s="23"/>
      <c r="F32" s="23"/>
      <c r="G32" s="23"/>
      <c r="H32" s="23"/>
      <c r="I32" s="23"/>
      <c r="J32" s="23"/>
      <c r="K32" s="23"/>
      <c r="L32" s="23"/>
      <c r="M32" s="23"/>
      <c r="N32" s="23"/>
      <c r="O32" s="23"/>
      <c r="P32" s="1"/>
      <c r="Q32" s="34"/>
    </row>
    <row r="33" spans="1:17" ht="19.5" customHeight="1">
      <c r="A33" s="23"/>
      <c r="B33" s="23"/>
      <c r="C33" s="23"/>
      <c r="D33" s="23"/>
      <c r="E33" s="23"/>
      <c r="F33" s="23"/>
      <c r="G33" s="23"/>
      <c r="H33" s="23"/>
      <c r="I33" s="23"/>
      <c r="J33" s="23"/>
      <c r="K33" s="23"/>
      <c r="L33" s="23"/>
      <c r="M33" s="23"/>
      <c r="N33" s="23"/>
      <c r="O33" s="23"/>
      <c r="P33" s="1"/>
      <c r="Q33" s="34"/>
    </row>
    <row r="34" spans="1:17" ht="19.5" customHeight="1">
      <c r="A34" s="23"/>
      <c r="B34" s="23"/>
      <c r="C34" s="23"/>
      <c r="D34" s="23"/>
      <c r="E34" s="23"/>
      <c r="F34" s="23"/>
      <c r="G34" s="23"/>
      <c r="H34" s="23"/>
      <c r="I34" s="23"/>
      <c r="J34" s="23"/>
      <c r="K34" s="23"/>
      <c r="L34" s="23"/>
      <c r="M34" s="23"/>
      <c r="N34" s="23"/>
      <c r="O34" s="23"/>
      <c r="P34" s="1"/>
      <c r="Q34" s="34"/>
    </row>
    <row r="35" spans="1:17" ht="19.5" customHeight="1">
      <c r="A35" s="23"/>
      <c r="B35" s="23"/>
      <c r="C35" s="23"/>
      <c r="D35" s="23"/>
      <c r="E35" s="23"/>
      <c r="F35" s="23"/>
      <c r="G35" s="23"/>
      <c r="H35" s="23"/>
      <c r="I35" s="23"/>
      <c r="J35" s="23"/>
      <c r="K35" s="23"/>
      <c r="L35" s="23"/>
      <c r="M35" s="23"/>
      <c r="N35" s="23"/>
      <c r="O35" s="23"/>
      <c r="P35" s="1"/>
      <c r="Q35" s="34"/>
    </row>
    <row r="36" spans="1:17" ht="19.5" customHeight="1">
      <c r="A36" s="23"/>
      <c r="B36" s="23"/>
      <c r="C36" s="23"/>
      <c r="D36" s="23"/>
      <c r="E36" s="23"/>
      <c r="F36" s="23"/>
      <c r="G36" s="23"/>
      <c r="H36" s="23"/>
      <c r="I36" s="23"/>
      <c r="J36" s="23"/>
      <c r="K36" s="23"/>
      <c r="L36" s="23"/>
      <c r="M36" s="23"/>
      <c r="N36" s="23"/>
      <c r="O36" s="23"/>
      <c r="P36" s="1"/>
      <c r="Q36" s="34"/>
    </row>
    <row r="37" spans="1:17" ht="19.5" customHeight="1">
      <c r="A37" s="23"/>
      <c r="B37" s="23"/>
      <c r="C37" s="23"/>
      <c r="D37" s="23"/>
      <c r="E37" s="23"/>
      <c r="F37" s="23"/>
      <c r="G37" s="23"/>
      <c r="H37" s="23"/>
      <c r="I37" s="23"/>
      <c r="J37" s="23"/>
      <c r="K37" s="23"/>
      <c r="L37" s="23"/>
      <c r="M37" s="23"/>
      <c r="N37" s="23"/>
      <c r="O37" s="23"/>
      <c r="P37" s="1"/>
      <c r="Q37" s="34"/>
    </row>
    <row r="38" spans="1:17" ht="19.5" customHeight="1">
      <c r="A38" s="23"/>
      <c r="B38" s="23"/>
      <c r="C38" s="23"/>
      <c r="D38" s="23"/>
      <c r="E38" s="23"/>
      <c r="F38" s="23"/>
      <c r="G38" s="23"/>
      <c r="H38" s="23"/>
      <c r="I38" s="23"/>
      <c r="J38" s="23"/>
      <c r="K38" s="23"/>
      <c r="L38" s="23"/>
      <c r="M38" s="23"/>
      <c r="N38" s="23"/>
      <c r="O38" s="23"/>
      <c r="P38" s="1"/>
      <c r="Q38" s="34"/>
    </row>
    <row r="39" spans="1:17" ht="19.5" customHeight="1">
      <c r="A39" s="23"/>
      <c r="B39" s="23"/>
      <c r="C39" s="23"/>
      <c r="D39" s="23"/>
      <c r="E39" s="23"/>
      <c r="F39" s="23"/>
      <c r="G39" s="23"/>
      <c r="H39" s="23"/>
      <c r="I39" s="23"/>
      <c r="J39" s="23"/>
      <c r="K39" s="23"/>
      <c r="L39" s="23"/>
      <c r="M39" s="23"/>
      <c r="N39" s="23"/>
      <c r="O39" s="23"/>
      <c r="P39" s="1"/>
      <c r="Q39" s="34"/>
    </row>
    <row r="40" spans="1:17" ht="19.5" customHeight="1">
      <c r="A40" s="23"/>
      <c r="B40" s="23"/>
      <c r="C40" s="23"/>
      <c r="D40" s="23"/>
      <c r="E40" s="23"/>
      <c r="F40" s="23"/>
      <c r="G40" s="23"/>
      <c r="H40" s="23"/>
      <c r="I40" s="23"/>
      <c r="J40" s="23"/>
      <c r="K40" s="23"/>
      <c r="L40" s="23"/>
      <c r="M40" s="23"/>
      <c r="N40" s="23"/>
      <c r="O40" s="23"/>
      <c r="P40" s="1"/>
      <c r="Q40" s="34"/>
    </row>
    <row r="41" spans="1:17" ht="19.5" customHeight="1">
      <c r="A41" s="23"/>
      <c r="B41" s="23"/>
      <c r="C41" s="23"/>
      <c r="D41" s="23"/>
      <c r="E41" s="23"/>
      <c r="F41" s="23"/>
      <c r="G41" s="23"/>
      <c r="H41" s="23"/>
      <c r="I41" s="23"/>
      <c r="J41" s="23"/>
      <c r="K41" s="23"/>
      <c r="L41" s="23"/>
      <c r="M41" s="23"/>
      <c r="N41" s="23"/>
      <c r="O41" s="23"/>
      <c r="P41" s="1"/>
      <c r="Q41" s="34"/>
    </row>
    <row r="42" spans="1:17" ht="19.5" customHeight="1">
      <c r="A42" s="23"/>
      <c r="B42" s="23"/>
      <c r="C42" s="23"/>
      <c r="D42" s="23"/>
      <c r="E42" s="23"/>
      <c r="F42" s="23"/>
      <c r="G42" s="23"/>
      <c r="H42" s="23"/>
      <c r="I42" s="23"/>
      <c r="J42" s="23"/>
      <c r="K42" s="23"/>
      <c r="L42" s="23"/>
      <c r="M42" s="23"/>
      <c r="N42" s="23"/>
      <c r="O42" s="23"/>
      <c r="P42" s="1"/>
      <c r="Q42" s="34"/>
    </row>
    <row r="43" spans="1:17" ht="19.5" customHeight="1">
      <c r="A43" s="23"/>
      <c r="B43" s="23"/>
      <c r="C43" s="23"/>
      <c r="D43" s="23"/>
      <c r="E43" s="23"/>
      <c r="F43" s="23"/>
      <c r="G43" s="23"/>
      <c r="H43" s="23"/>
      <c r="I43" s="23"/>
      <c r="J43" s="23"/>
      <c r="K43" s="23"/>
      <c r="L43" s="23"/>
      <c r="M43" s="23"/>
      <c r="N43" s="23"/>
      <c r="O43" s="23"/>
      <c r="P43" s="1"/>
      <c r="Q43" s="34"/>
    </row>
    <row r="44" spans="1:17" ht="19.5" customHeight="1">
      <c r="A44" s="23"/>
      <c r="B44" s="23"/>
      <c r="C44" s="23"/>
      <c r="D44" s="23"/>
      <c r="E44" s="23"/>
      <c r="F44" s="23"/>
      <c r="G44" s="23"/>
      <c r="H44" s="23"/>
      <c r="I44" s="23"/>
      <c r="J44" s="23"/>
      <c r="K44" s="23"/>
      <c r="L44" s="23"/>
      <c r="M44" s="23"/>
      <c r="N44" s="23"/>
      <c r="O44" s="23"/>
      <c r="P44" s="1"/>
      <c r="Q44" s="34"/>
    </row>
    <row r="45" spans="1:17" ht="19.5" customHeight="1">
      <c r="A45" s="23"/>
      <c r="B45" s="23"/>
      <c r="C45" s="23"/>
      <c r="D45" s="23"/>
      <c r="E45" s="23"/>
      <c r="F45" s="23"/>
      <c r="G45" s="23"/>
      <c r="H45" s="23"/>
      <c r="I45" s="23"/>
      <c r="J45" s="23"/>
      <c r="K45" s="23"/>
      <c r="L45" s="23"/>
      <c r="M45" s="23"/>
      <c r="N45" s="23"/>
      <c r="O45" s="23"/>
      <c r="P45" s="1"/>
      <c r="Q45" s="34"/>
    </row>
    <row r="46" spans="1:17" ht="19.5" customHeight="1">
      <c r="A46" s="23"/>
      <c r="B46" s="23"/>
      <c r="C46" s="23"/>
      <c r="D46" s="23"/>
      <c r="E46" s="23"/>
      <c r="F46" s="23"/>
      <c r="G46" s="23"/>
      <c r="H46" s="23"/>
      <c r="I46" s="23"/>
      <c r="J46" s="23"/>
      <c r="K46" s="23"/>
      <c r="L46" s="23"/>
      <c r="M46" s="23"/>
      <c r="N46" s="23"/>
      <c r="O46" s="23"/>
      <c r="P46" s="1"/>
      <c r="Q46" s="34"/>
    </row>
    <row r="47" spans="1:17" ht="19.5" customHeight="1">
      <c r="A47" s="23"/>
      <c r="B47" s="23"/>
      <c r="C47" s="23"/>
      <c r="D47" s="23"/>
      <c r="E47" s="23"/>
      <c r="F47" s="23"/>
      <c r="G47" s="23"/>
      <c r="H47" s="23"/>
      <c r="I47" s="23"/>
      <c r="J47" s="23"/>
      <c r="K47" s="23"/>
      <c r="L47" s="23"/>
      <c r="M47" s="23"/>
      <c r="N47" s="23"/>
      <c r="O47" s="23"/>
      <c r="P47" s="1"/>
      <c r="Q47" s="34"/>
    </row>
    <row r="48" spans="1:17" ht="19.5" customHeight="1">
      <c r="A48" s="23"/>
      <c r="B48" s="23"/>
      <c r="C48" s="23"/>
      <c r="D48" s="23"/>
      <c r="E48" s="23"/>
      <c r="F48" s="23"/>
      <c r="G48" s="23"/>
      <c r="H48" s="23"/>
      <c r="I48" s="23"/>
      <c r="J48" s="23"/>
      <c r="K48" s="23"/>
      <c r="L48" s="23"/>
      <c r="M48" s="23"/>
      <c r="N48" s="23"/>
      <c r="O48" s="23"/>
      <c r="P48" s="1"/>
      <c r="Q48" s="34"/>
    </row>
    <row r="49" spans="1:17" ht="19.5" customHeight="1">
      <c r="A49" s="23"/>
      <c r="B49" s="23"/>
      <c r="C49" s="23"/>
      <c r="D49" s="23"/>
      <c r="E49" s="23"/>
      <c r="F49" s="23"/>
      <c r="G49" s="23"/>
      <c r="H49" s="23"/>
      <c r="I49" s="23"/>
      <c r="J49" s="23"/>
      <c r="K49" s="23"/>
      <c r="L49" s="23"/>
      <c r="M49" s="23"/>
      <c r="N49" s="23"/>
      <c r="O49" s="23"/>
      <c r="P49" s="1"/>
      <c r="Q49" s="34"/>
    </row>
    <row r="50" spans="1:17" ht="19.5" customHeight="1">
      <c r="L50" s="23"/>
      <c r="M50" s="23"/>
      <c r="N50" s="23"/>
      <c r="O50" s="23"/>
      <c r="P50" s="1"/>
      <c r="Q50" s="34"/>
    </row>
    <row r="51" spans="1:17" ht="19.5" customHeight="1">
      <c r="A51" s="1"/>
      <c r="B51" s="1"/>
      <c r="C51" s="1"/>
      <c r="D51" s="1"/>
      <c r="E51" s="1"/>
      <c r="F51" s="1"/>
      <c r="G51" s="1"/>
      <c r="H51" s="1"/>
      <c r="I51" s="1"/>
      <c r="J51" s="1"/>
      <c r="K51" s="1"/>
      <c r="L51" s="1"/>
      <c r="M51" s="1"/>
      <c r="N51" s="1"/>
      <c r="O51" s="1"/>
      <c r="P51" s="1"/>
      <c r="Q51" s="34"/>
    </row>
    <row r="52" spans="1:17" ht="19.5" customHeight="1">
      <c r="A52" s="1"/>
      <c r="B52" s="1"/>
      <c r="C52" s="1"/>
      <c r="D52" s="1"/>
      <c r="E52" s="1"/>
      <c r="F52" s="1"/>
      <c r="G52" s="1"/>
      <c r="H52" s="1"/>
      <c r="I52" s="1"/>
      <c r="J52" s="1"/>
      <c r="K52" s="1"/>
      <c r="L52" s="1"/>
      <c r="M52" s="1"/>
      <c r="N52" s="1"/>
      <c r="O52" s="1"/>
      <c r="P52" s="1"/>
      <c r="Q52" s="34"/>
    </row>
    <row r="53" spans="1:17" ht="19.5" customHeight="1">
      <c r="A53" s="1"/>
      <c r="B53" s="1"/>
      <c r="C53" s="1"/>
      <c r="D53" s="1"/>
      <c r="E53" s="1"/>
      <c r="F53" s="1"/>
      <c r="G53" s="1"/>
      <c r="H53" s="1"/>
      <c r="I53" s="1"/>
      <c r="J53" s="1"/>
      <c r="K53" s="1"/>
      <c r="L53" s="1"/>
      <c r="M53" s="1"/>
      <c r="N53" s="1"/>
      <c r="O53" s="1"/>
      <c r="P53" s="1"/>
      <c r="Q53" s="34"/>
    </row>
    <row r="54" spans="1:17" ht="19.5" customHeight="1">
      <c r="A54" s="1"/>
      <c r="B54" s="1"/>
      <c r="C54" s="1"/>
      <c r="D54" s="1"/>
      <c r="E54" s="1"/>
      <c r="F54" s="1"/>
      <c r="G54" s="1"/>
      <c r="H54" s="1"/>
      <c r="I54" s="1"/>
      <c r="J54" s="1"/>
      <c r="K54" s="1"/>
      <c r="L54" s="1"/>
      <c r="M54" s="1"/>
      <c r="N54" s="1"/>
      <c r="O54" s="1"/>
      <c r="P54" s="1"/>
      <c r="Q54" s="34"/>
    </row>
    <row r="55" spans="1:17" ht="19.5" customHeight="1">
      <c r="A55" s="1"/>
      <c r="B55" s="1"/>
      <c r="C55" s="1"/>
      <c r="D55" s="1"/>
      <c r="E55" s="1"/>
      <c r="F55" s="1"/>
      <c r="G55" s="1"/>
      <c r="H55" s="1"/>
      <c r="I55" s="1"/>
      <c r="J55" s="1"/>
      <c r="K55" s="1"/>
      <c r="L55" s="1"/>
      <c r="M55" s="1"/>
      <c r="N55" s="1"/>
      <c r="O55" s="1"/>
      <c r="P55" s="1"/>
      <c r="Q55" s="34"/>
    </row>
    <row r="56" spans="1:17" ht="19.5" customHeight="1">
      <c r="A56" s="1"/>
      <c r="B56" s="1"/>
      <c r="C56" s="1"/>
      <c r="D56" s="1"/>
      <c r="E56" s="1"/>
      <c r="F56" s="1"/>
      <c r="G56" s="1"/>
      <c r="H56" s="1"/>
      <c r="I56" s="1"/>
      <c r="J56" s="1"/>
      <c r="K56" s="1"/>
      <c r="L56" s="1"/>
      <c r="M56" s="1"/>
      <c r="N56" s="1"/>
      <c r="O56" s="1"/>
      <c r="P56" s="1"/>
      <c r="Q56" s="34"/>
    </row>
    <row r="57" spans="1:17" ht="19.5" customHeight="1">
      <c r="A57" s="1"/>
      <c r="B57" s="1"/>
      <c r="C57" s="1"/>
      <c r="D57" s="1"/>
      <c r="E57" s="1"/>
      <c r="F57" s="1"/>
      <c r="G57" s="1"/>
      <c r="H57" s="1"/>
      <c r="I57" s="1"/>
      <c r="J57" s="1"/>
      <c r="K57" s="1"/>
      <c r="L57" s="1"/>
      <c r="M57" s="1"/>
      <c r="N57" s="1"/>
      <c r="O57" s="1"/>
      <c r="P57" s="1"/>
      <c r="Q57" s="34"/>
    </row>
    <row r="58" spans="1:17" ht="19.5" customHeight="1">
      <c r="A58" s="1"/>
      <c r="B58" s="1"/>
      <c r="C58" s="1"/>
      <c r="D58" s="1"/>
      <c r="E58" s="1"/>
      <c r="F58" s="1"/>
      <c r="G58" s="1"/>
      <c r="H58" s="1"/>
      <c r="I58" s="1"/>
      <c r="J58" s="1"/>
      <c r="K58" s="1"/>
      <c r="L58" s="1"/>
      <c r="M58" s="1"/>
      <c r="N58" s="1"/>
      <c r="O58" s="1"/>
      <c r="P58" s="1"/>
      <c r="Q58" s="34"/>
    </row>
    <row r="59" spans="1:17" ht="19.5" customHeight="1">
      <c r="A59" s="1"/>
      <c r="B59" s="1"/>
      <c r="C59" s="1"/>
      <c r="D59" s="1"/>
      <c r="E59" s="1"/>
      <c r="F59" s="1"/>
      <c r="G59" s="1"/>
      <c r="H59" s="1"/>
      <c r="I59" s="1"/>
      <c r="J59" s="1"/>
      <c r="K59" s="1"/>
      <c r="L59" s="1"/>
      <c r="M59" s="1"/>
      <c r="N59" s="1"/>
      <c r="O59" s="1"/>
      <c r="P59" s="1"/>
      <c r="Q59" s="34"/>
    </row>
    <row r="60" spans="1:17" ht="19.5" customHeight="1">
      <c r="A60" s="1"/>
      <c r="B60" s="1"/>
      <c r="C60" s="1"/>
      <c r="D60" s="1"/>
      <c r="E60" s="1"/>
      <c r="F60" s="1"/>
      <c r="G60" s="1"/>
      <c r="H60" s="1"/>
      <c r="I60" s="1"/>
      <c r="J60" s="1"/>
      <c r="K60" s="1"/>
      <c r="L60" s="1"/>
      <c r="M60" s="1"/>
      <c r="N60" s="1"/>
      <c r="O60" s="1"/>
      <c r="P60" s="1"/>
      <c r="Q60" s="34"/>
    </row>
    <row r="61" spans="1:17" ht="19.5" customHeight="1">
      <c r="A61" s="1"/>
      <c r="B61" s="1"/>
      <c r="C61" s="1"/>
      <c r="D61" s="1"/>
      <c r="E61" s="1"/>
      <c r="F61" s="1"/>
      <c r="G61" s="1"/>
      <c r="H61" s="1"/>
      <c r="I61" s="1"/>
      <c r="J61" s="1"/>
      <c r="K61" s="1"/>
      <c r="L61" s="1"/>
      <c r="M61" s="1"/>
      <c r="N61" s="1"/>
      <c r="O61" s="1"/>
      <c r="P61" s="1"/>
      <c r="Q61" s="34"/>
    </row>
    <row r="62" spans="1:17" ht="19.5" customHeight="1">
      <c r="A62" s="1"/>
      <c r="B62" s="1"/>
      <c r="C62" s="1"/>
      <c r="D62" s="1"/>
      <c r="E62" s="1"/>
      <c r="F62" s="1"/>
      <c r="G62" s="1"/>
      <c r="H62" s="1"/>
      <c r="I62" s="1"/>
      <c r="J62" s="1"/>
      <c r="K62" s="1"/>
      <c r="L62" s="1"/>
      <c r="M62" s="1"/>
      <c r="N62" s="1"/>
      <c r="O62" s="1"/>
      <c r="P62" s="1"/>
      <c r="Q62" s="34"/>
    </row>
    <row r="63" spans="1:17" ht="19.5" customHeight="1">
      <c r="A63" s="1"/>
      <c r="B63" s="1"/>
      <c r="C63" s="1"/>
      <c r="D63" s="1"/>
      <c r="E63" s="1"/>
      <c r="F63" s="1"/>
      <c r="G63" s="1"/>
      <c r="H63" s="1"/>
      <c r="I63" s="1"/>
      <c r="J63" s="1"/>
      <c r="K63" s="1"/>
      <c r="L63" s="1"/>
      <c r="M63" s="1"/>
      <c r="N63" s="1"/>
      <c r="O63" s="1"/>
      <c r="P63" s="1"/>
      <c r="Q63" s="34"/>
    </row>
    <row r="64" spans="1:17" ht="19.5" customHeight="1">
      <c r="A64" s="1"/>
      <c r="B64" s="1"/>
      <c r="C64" s="1"/>
      <c r="D64" s="1"/>
      <c r="E64" s="1"/>
      <c r="F64" s="1"/>
      <c r="G64" s="1"/>
      <c r="H64" s="1"/>
      <c r="I64" s="1"/>
      <c r="J64" s="1"/>
      <c r="K64" s="1"/>
      <c r="L64" s="1"/>
      <c r="M64" s="1"/>
      <c r="N64" s="1"/>
      <c r="O64" s="1"/>
      <c r="P64" s="1"/>
      <c r="Q64" s="34"/>
    </row>
  </sheetData>
  <customSheetViews>
    <customSheetView guid="{7A9890A5-7CC2-466F-AA52-39E8D428DC1C}" scale="85" hiddenColumns="1">
      <pageMargins left="0.75" right="0.75" top="1" bottom="1" header="0.5" footer="0.5"/>
      <pageSetup orientation="portrait" r:id="rId1"/>
      <headerFooter alignWithMargins="0"/>
    </customSheetView>
    <customSheetView guid="{567C3053-2D8E-4705-8DC7-18896C5303CA}" scale="85" showPageBreaks="1" hiddenColumns="1" topLeftCell="AI7">
      <selection activeCell="AP11" sqref="AP11"/>
      <pageMargins left="0.75" right="0.75" top="1" bottom="1" header="0.5" footer="0.5"/>
      <pageSetup orientation="portrait" r:id="rId2"/>
      <headerFooter alignWithMargins="0"/>
    </customSheetView>
    <customSheetView guid="{AEFEB150-9213-45F5-A178-7AC71E46DB11}" scale="85" hiddenColumns="1" topLeftCell="K1">
      <selection activeCell="W14" sqref="W14"/>
      <pageMargins left="0.75" right="0.75" top="1" bottom="1" header="0.5" footer="0.5"/>
      <headerFooter alignWithMargins="0"/>
    </customSheetView>
    <customSheetView guid="{E81D05A4-5B21-42D3-A8D3-906ABCABC0F4}" scale="85" hiddenColumns="1" topLeftCell="AH6">
      <selection activeCell="AN11" sqref="AN11"/>
      <pageMargins left="0.75" right="0.75" top="1" bottom="1" header="0.5" footer="0.5"/>
      <headerFooter alignWithMargins="0"/>
    </customSheetView>
    <customSheetView guid="{A2518DB3-3A80-4035-9307-EC50A7C923F2}" scale="85" hiddenColumns="1" topLeftCell="AE6">
      <selection activeCell="AN11" sqref="AN11"/>
      <pageMargins left="0.75" right="0.75" top="1" bottom="1" header="0.5" footer="0.5"/>
      <headerFooter alignWithMargins="0"/>
    </customSheetView>
    <customSheetView guid="{50528D02-548E-47E0-94D7-D1E79CD3569C}" scale="85" hiddenColumns="1" topLeftCell="AE6">
      <selection activeCell="AN11" sqref="AN11"/>
      <pageMargins left="0.75" right="0.75" top="1" bottom="1" header="0.5" footer="0.5"/>
      <headerFooter alignWithMargins="0"/>
    </customSheetView>
    <customSheetView guid="{E44F5FE1-54FC-4AB3-84F9-7D65ACF2DDE7}" scale="85" hiddenColumns="1" topLeftCell="K1">
      <selection activeCell="W14" sqref="W14"/>
      <pageMargins left="0.75" right="0.75" top="1" bottom="1" header="0.5" footer="0.5"/>
      <headerFooter alignWithMargins="0"/>
    </customSheetView>
    <customSheetView guid="{94DA13B6-7351-40F3-8CF7-A4211EC439DA}" scale="85" hiddenColumns="1" topLeftCell="K1">
      <selection activeCell="W14" sqref="W14"/>
      <pageMargins left="0.75" right="0.75" top="1" bottom="1" header="0.5" footer="0.5"/>
      <headerFooter alignWithMargins="0"/>
    </customSheetView>
    <customSheetView guid="{8F508F4D-4777-42BE-9707-8CB9355F7BDB}" scale="85" hiddenColumns="1" topLeftCell="X1">
      <selection activeCell="AE8" sqref="AE8"/>
      <pageMargins left="0.75" right="0.75" top="1" bottom="1" header="0.5" footer="0.5"/>
      <headerFooter alignWithMargins="0"/>
    </customSheetView>
    <customSheetView guid="{F784130D-F647-4ABA-8943-C79CA5B0FDC4}" scale="85" hiddenColumns="1">
      <selection activeCell="A4" sqref="A4:A6"/>
      <pageMargins left="0.75" right="0.75" top="1" bottom="1" header="0.5" footer="0.5"/>
      <headerFooter alignWithMargins="0"/>
    </customSheetView>
    <customSheetView guid="{1E5198E1-BA46-4CE0-8628-4F695B0D7A3B}" scale="85" hiddenColumns="1" topLeftCell="K1">
      <selection activeCell="W14" sqref="W14"/>
      <pageMargins left="0.75" right="0.75" top="1" bottom="1" header="0.5" footer="0.5"/>
      <headerFooter alignWithMargins="0"/>
    </customSheetView>
    <customSheetView guid="{455630F5-40FC-47DB-8AD4-712C20B8FB91}" scale="85" hiddenColumns="1" topLeftCell="AG6">
      <selection activeCell="AN15" sqref="AN15"/>
      <pageMargins left="0.75" right="0.75" top="1" bottom="1" header="0.5" footer="0.5"/>
      <pageSetup orientation="portrait" r:id="rId3"/>
      <headerFooter alignWithMargins="0"/>
    </customSheetView>
    <customSheetView guid="{78CA186D-B240-44D5-8A24-D241DE0B0FD9}" scale="85" hiddenColumns="1" topLeftCell="AH6">
      <selection activeCell="AN11" sqref="AN11"/>
      <pageMargins left="0.75" right="0.75" top="1" bottom="1" header="0.5" footer="0.5"/>
      <headerFooter alignWithMargins="0"/>
    </customSheetView>
    <customSheetView guid="{9D4F0482-B164-4671-805A-E0D2D4DD4720}" scale="85" hiddenColumns="1" topLeftCell="K1">
      <selection activeCell="W14" sqref="W14"/>
      <pageMargins left="0.75" right="0.75" top="1" bottom="1" header="0.5" footer="0.5"/>
      <headerFooter alignWithMargins="0"/>
    </customSheetView>
  </customSheetViews>
  <mergeCells count="5">
    <mergeCell ref="M9:N9"/>
    <mergeCell ref="P9:Q9"/>
    <mergeCell ref="S9:T9"/>
    <mergeCell ref="V9:W9"/>
    <mergeCell ref="Y9:Z9"/>
  </mergeCells>
  <phoneticPr fontId="8" type="noConversion"/>
  <pageMargins left="0.75" right="0.75" top="1" bottom="1" header="0.5" footer="0.5"/>
  <pageSetup orientation="portrait" r:id="rId4"/>
  <headerFooter alignWithMargins="0"/>
</worksheet>
</file>

<file path=xl/worksheets/sheet4.xml><?xml version="1.0" encoding="utf-8"?>
<worksheet xmlns="http://schemas.openxmlformats.org/spreadsheetml/2006/main" xmlns:r="http://schemas.openxmlformats.org/officeDocument/2006/relationships">
  <dimension ref="A1:ID258"/>
  <sheetViews>
    <sheetView tabSelected="1" topLeftCell="A146" zoomScale="85" zoomScaleNormal="100" workbookViewId="0">
      <pane xSplit="1" topLeftCell="BM1" activePane="topRight" state="frozen"/>
      <selection activeCell="A166" sqref="A166"/>
      <selection pane="topRight" activeCell="BP151" sqref="BP151"/>
    </sheetView>
  </sheetViews>
  <sheetFormatPr defaultColWidth="8.7265625" defaultRowHeight="18" customHeight="1"/>
  <cols>
    <col min="1" max="1" width="63.81640625" style="50" customWidth="1"/>
    <col min="2" max="2" width="10.81640625" bestFit="1" customWidth="1"/>
    <col min="3" max="3" width="11.1796875" customWidth="1"/>
    <col min="4" max="4" width="12.1796875" customWidth="1"/>
    <col min="5" max="5" width="13.1796875" style="14" customWidth="1"/>
    <col min="6" max="6" width="10.81640625" customWidth="1"/>
    <col min="7" max="7" width="14.26953125" customWidth="1"/>
    <col min="8" max="8" width="15.26953125" style="14" customWidth="1"/>
    <col min="9" max="9" width="13.7265625" bestFit="1" customWidth="1"/>
    <col min="10" max="10" width="13.7265625" customWidth="1"/>
    <col min="11" max="11" width="13.7265625" style="14" customWidth="1"/>
    <col min="12" max="12" width="11.453125" style="50" customWidth="1"/>
    <col min="13" max="13" width="10.81640625" style="50" customWidth="1"/>
    <col min="14" max="14" width="8.7265625" style="51" customWidth="1"/>
    <col min="15" max="15" width="12" style="50" customWidth="1"/>
    <col min="16" max="16" width="9.81640625" style="50" customWidth="1"/>
    <col min="17" max="17" width="9.1796875" style="50" customWidth="1"/>
    <col min="18" max="18" width="11.26953125" style="50" customWidth="1"/>
    <col min="19" max="19" width="10" style="50" customWidth="1"/>
    <col min="20" max="20" width="8.7265625" style="50" customWidth="1"/>
    <col min="21" max="21" width="11.453125" style="50" customWidth="1"/>
    <col min="22" max="22" width="9.7265625" style="50" customWidth="1"/>
    <col min="23" max="23" width="7.81640625" style="50" customWidth="1"/>
    <col min="24" max="24" width="13.7265625" style="166" customWidth="1"/>
    <col min="25" max="25" width="12.26953125" style="157" customWidth="1"/>
    <col min="26" max="26" width="10.453125" style="95" customWidth="1"/>
    <col min="27" max="27" width="13.54296875" style="202" customWidth="1"/>
    <col min="28" max="28" width="12.7265625" style="52" customWidth="1"/>
    <col min="29" max="29" width="12" style="100" customWidth="1"/>
    <col min="30" max="30" width="10.7265625" style="50" customWidth="1"/>
    <col min="31" max="31" width="13.1796875" style="50" customWidth="1"/>
    <col min="32" max="33" width="13.1796875" style="52" customWidth="1"/>
    <col min="34" max="34" width="13.1796875" style="50" customWidth="1"/>
    <col min="35" max="36" width="13.81640625" style="50" customWidth="1"/>
    <col min="37" max="37" width="10.54296875" style="50" customWidth="1"/>
    <col min="38" max="38" width="16.1796875" style="50" customWidth="1"/>
    <col min="39" max="39" width="12.26953125" style="50" customWidth="1"/>
    <col min="40" max="40" width="14.7265625" style="50" customWidth="1"/>
    <col min="41" max="43" width="13.54296875" style="50" customWidth="1"/>
    <col min="44" max="44" width="15.1796875" style="50" customWidth="1"/>
    <col min="45" max="45" width="13.54296875" style="50" customWidth="1"/>
    <col min="46" max="46" width="17.54296875" style="50" customWidth="1"/>
    <col min="47" max="47" width="14.453125" style="50" customWidth="1"/>
    <col min="48" max="48" width="13.26953125" style="50" customWidth="1"/>
    <col min="49" max="49" width="23" style="50" customWidth="1"/>
    <col min="50" max="50" width="13.1796875" style="52" customWidth="1"/>
    <col min="51" max="51" width="12.54296875" style="52" customWidth="1"/>
    <col min="52" max="53" width="12.7265625" style="58" customWidth="1"/>
    <col min="54" max="54" width="16" style="58" customWidth="1"/>
    <col min="55" max="56" width="12.7265625" style="58" customWidth="1"/>
    <col min="57" max="57" width="13.1796875" style="52" customWidth="1"/>
    <col min="58" max="58" width="13.7265625" style="52" customWidth="1"/>
    <col min="59" max="63" width="11.81640625" style="58" customWidth="1"/>
    <col min="64" max="64" width="21.26953125" style="50" customWidth="1"/>
    <col min="65" max="68" width="13.26953125" style="50" customWidth="1"/>
    <col min="69" max="69" width="12.54296875" style="50" hidden="1" customWidth="1"/>
    <col min="70" max="70" width="11.54296875" style="39" customWidth="1"/>
    <col min="71" max="71" width="8.54296875" style="39" customWidth="1"/>
    <col min="72" max="72" width="4.81640625" style="50" customWidth="1"/>
    <col min="73" max="73" width="6.7265625" style="50" customWidth="1"/>
    <col min="74" max="74" width="7.54296875" style="50" customWidth="1"/>
    <col min="75" max="75" width="21.26953125" style="50" customWidth="1"/>
    <col min="76" max="76" width="18" style="50" customWidth="1"/>
    <col min="77" max="77" width="14.54296875" style="50" customWidth="1"/>
    <col min="78" max="238" width="47" style="50" bestFit="1" customWidth="1"/>
    <col min="239" max="16384" width="8.7265625" style="50"/>
  </cols>
  <sheetData>
    <row r="1" spans="1:77" ht="13.5" hidden="1" thickBot="1">
      <c r="A1" s="50" t="s">
        <v>114</v>
      </c>
      <c r="BO1" s="644" t="s">
        <v>423</v>
      </c>
    </row>
    <row r="2" spans="1:77" ht="24" hidden="1" customHeight="1" thickBot="1">
      <c r="A2" s="53" t="s">
        <v>153</v>
      </c>
      <c r="R2" s="52"/>
      <c r="BO2" s="644" t="s">
        <v>392</v>
      </c>
    </row>
    <row r="3" spans="1:77" ht="13" hidden="1" thickBot="1">
      <c r="L3" s="54"/>
      <c r="M3" s="54"/>
      <c r="N3" s="55"/>
      <c r="O3" s="54"/>
      <c r="P3" s="54"/>
      <c r="Q3" s="54"/>
      <c r="R3" s="54"/>
      <c r="U3" s="54"/>
      <c r="BO3" s="680"/>
    </row>
    <row r="4" spans="1:77" ht="18" customHeight="1" thickBot="1">
      <c r="A4" s="719"/>
      <c r="B4" s="442" t="s">
        <v>365</v>
      </c>
      <c r="C4" s="444" t="s">
        <v>368</v>
      </c>
      <c r="D4" s="445" t="s">
        <v>375</v>
      </c>
      <c r="E4" s="446"/>
      <c r="F4" s="442" t="s">
        <v>367</v>
      </c>
      <c r="G4" s="450" t="s">
        <v>373</v>
      </c>
      <c r="H4" s="451"/>
      <c r="I4" s="444" t="s">
        <v>366</v>
      </c>
      <c r="J4" s="445" t="s">
        <v>374</v>
      </c>
      <c r="K4" s="446"/>
      <c r="L4" s="442" t="s">
        <v>47</v>
      </c>
      <c r="M4" s="706" t="s">
        <v>91</v>
      </c>
      <c r="N4" s="707"/>
      <c r="O4" s="444" t="s">
        <v>46</v>
      </c>
      <c r="P4" s="708" t="s">
        <v>92</v>
      </c>
      <c r="Q4" s="709"/>
      <c r="R4" s="457" t="s">
        <v>44</v>
      </c>
      <c r="S4" s="706" t="s">
        <v>96</v>
      </c>
      <c r="T4" s="707"/>
      <c r="U4" s="460" t="s">
        <v>95</v>
      </c>
      <c r="V4" s="708" t="s">
        <v>128</v>
      </c>
      <c r="W4" s="709"/>
      <c r="X4" s="462" t="s">
        <v>106</v>
      </c>
      <c r="Y4" s="710" t="s">
        <v>154</v>
      </c>
      <c r="Z4" s="711"/>
      <c r="AA4" s="463" t="s">
        <v>155</v>
      </c>
      <c r="AB4" s="704" t="s">
        <v>157</v>
      </c>
      <c r="AC4" s="705"/>
      <c r="AD4" s="277" t="s">
        <v>156</v>
      </c>
      <c r="AE4" s="277" t="s">
        <v>156</v>
      </c>
      <c r="AF4" s="529" t="s">
        <v>156</v>
      </c>
      <c r="AG4" s="527" t="s">
        <v>200</v>
      </c>
      <c r="AH4" s="468"/>
      <c r="AI4" s="722" t="s">
        <v>156</v>
      </c>
      <c r="AJ4" s="726" t="s">
        <v>156</v>
      </c>
      <c r="AK4" s="722" t="s">
        <v>225</v>
      </c>
      <c r="AL4" s="727" t="s">
        <v>225</v>
      </c>
      <c r="AM4" s="727" t="s">
        <v>225</v>
      </c>
      <c r="AN4" s="727" t="s">
        <v>225</v>
      </c>
      <c r="AO4" s="727" t="s">
        <v>225</v>
      </c>
      <c r="AP4" s="555" t="s">
        <v>225</v>
      </c>
      <c r="AQ4" s="556" t="s">
        <v>225</v>
      </c>
      <c r="AR4" s="555" t="s">
        <v>225</v>
      </c>
      <c r="AS4" s="556" t="s">
        <v>225</v>
      </c>
      <c r="AT4" s="544" t="s">
        <v>404</v>
      </c>
      <c r="AU4" s="557"/>
      <c r="AX4" s="481" t="s">
        <v>225</v>
      </c>
      <c r="AY4" s="528" t="s">
        <v>394</v>
      </c>
      <c r="AZ4" s="521"/>
      <c r="BA4" s="481" t="s">
        <v>225</v>
      </c>
      <c r="BB4" s="481" t="s">
        <v>225</v>
      </c>
      <c r="BC4" s="481" t="s">
        <v>225</v>
      </c>
      <c r="BD4" s="481"/>
      <c r="BE4" s="529" t="s">
        <v>385</v>
      </c>
      <c r="BF4" s="527" t="s">
        <v>395</v>
      </c>
      <c r="BG4" s="523"/>
      <c r="BH4" s="547" t="s">
        <v>385</v>
      </c>
      <c r="BI4" s="551" t="s">
        <v>385</v>
      </c>
      <c r="BJ4" s="552" t="s">
        <v>385</v>
      </c>
      <c r="BK4" s="551" t="s">
        <v>385</v>
      </c>
      <c r="BL4" s="544" t="s">
        <v>385</v>
      </c>
      <c r="BM4" s="548" t="s">
        <v>406</v>
      </c>
      <c r="BN4" s="645" t="s">
        <v>423</v>
      </c>
      <c r="BO4" s="644" t="s">
        <v>423</v>
      </c>
      <c r="BP4" s="629" t="s">
        <v>481</v>
      </c>
      <c r="BQ4" s="665"/>
      <c r="BR4" s="721"/>
      <c r="BS4" s="644" t="s">
        <v>423</v>
      </c>
      <c r="BT4" s="626" t="s">
        <v>423</v>
      </c>
      <c r="BU4" s="627" t="s">
        <v>423</v>
      </c>
      <c r="BV4" s="626" t="s">
        <v>423</v>
      </c>
      <c r="BW4" s="628" t="s">
        <v>423</v>
      </c>
      <c r="BX4" s="629" t="s">
        <v>435</v>
      </c>
      <c r="BY4" s="630"/>
    </row>
    <row r="5" spans="1:77" ht="46.5" customHeight="1" thickBot="1">
      <c r="A5" s="509" t="s">
        <v>43</v>
      </c>
      <c r="B5" s="443" t="s">
        <v>372</v>
      </c>
      <c r="C5" s="447" t="s">
        <v>76</v>
      </c>
      <c r="D5" s="448" t="s">
        <v>89</v>
      </c>
      <c r="E5" s="449" t="s">
        <v>90</v>
      </c>
      <c r="F5" s="443" t="s">
        <v>372</v>
      </c>
      <c r="G5" s="452" t="s">
        <v>89</v>
      </c>
      <c r="H5" s="453" t="s">
        <v>90</v>
      </c>
      <c r="I5" s="447" t="s">
        <v>76</v>
      </c>
      <c r="J5" s="448" t="s">
        <v>89</v>
      </c>
      <c r="K5" s="449" t="s">
        <v>90</v>
      </c>
      <c r="L5" s="454" t="s">
        <v>76</v>
      </c>
      <c r="M5" s="452" t="s">
        <v>89</v>
      </c>
      <c r="N5" s="453" t="s">
        <v>90</v>
      </c>
      <c r="O5" s="455" t="s">
        <v>76</v>
      </c>
      <c r="P5" s="448" t="s">
        <v>89</v>
      </c>
      <c r="Q5" s="456" t="s">
        <v>90</v>
      </c>
      <c r="R5" s="458" t="s">
        <v>76</v>
      </c>
      <c r="S5" s="459" t="s">
        <v>89</v>
      </c>
      <c r="T5" s="453" t="s">
        <v>90</v>
      </c>
      <c r="U5" s="461" t="s">
        <v>76</v>
      </c>
      <c r="V5" s="448" t="s">
        <v>89</v>
      </c>
      <c r="W5" s="449" t="s">
        <v>90</v>
      </c>
      <c r="X5" s="458" t="s">
        <v>76</v>
      </c>
      <c r="Y5" s="529" t="s">
        <v>89</v>
      </c>
      <c r="Z5" s="718" t="s">
        <v>90</v>
      </c>
      <c r="AA5" s="464" t="s">
        <v>76</v>
      </c>
      <c r="AB5" s="465" t="s">
        <v>89</v>
      </c>
      <c r="AC5" s="466" t="s">
        <v>90</v>
      </c>
      <c r="AD5" s="278" t="s">
        <v>222</v>
      </c>
      <c r="AE5" s="278" t="s">
        <v>223</v>
      </c>
      <c r="AF5" s="530" t="s">
        <v>76</v>
      </c>
      <c r="AG5" s="458" t="s">
        <v>89</v>
      </c>
      <c r="AH5" s="469" t="s">
        <v>90</v>
      </c>
      <c r="AI5" s="723" t="s">
        <v>228</v>
      </c>
      <c r="AJ5" s="725" t="s">
        <v>229</v>
      </c>
      <c r="AK5" s="730" t="s">
        <v>226</v>
      </c>
      <c r="AL5" s="725" t="s">
        <v>227</v>
      </c>
      <c r="AM5" s="729" t="s">
        <v>230</v>
      </c>
      <c r="AN5" s="728" t="s">
        <v>240</v>
      </c>
      <c r="AO5" s="730" t="s">
        <v>231</v>
      </c>
      <c r="AP5" s="545" t="s">
        <v>232</v>
      </c>
      <c r="AQ5" s="558" t="s">
        <v>239</v>
      </c>
      <c r="AR5" s="559" t="s">
        <v>403</v>
      </c>
      <c r="AS5" s="558" t="s">
        <v>440</v>
      </c>
      <c r="AT5" s="559" t="s">
        <v>89</v>
      </c>
      <c r="AU5" s="558" t="s">
        <v>405</v>
      </c>
      <c r="AV5" s="728" t="s">
        <v>237</v>
      </c>
      <c r="AW5" s="732" t="s">
        <v>238</v>
      </c>
      <c r="AX5" s="464" t="s">
        <v>392</v>
      </c>
      <c r="AY5" s="465" t="s">
        <v>89</v>
      </c>
      <c r="AZ5" s="522" t="s">
        <v>90</v>
      </c>
      <c r="BA5" s="522" t="s">
        <v>417</v>
      </c>
      <c r="BB5" s="522" t="s">
        <v>76</v>
      </c>
      <c r="BC5" s="522" t="s">
        <v>421</v>
      </c>
      <c r="BD5" s="522" t="s">
        <v>422</v>
      </c>
      <c r="BE5" s="530" t="s">
        <v>392</v>
      </c>
      <c r="BF5" s="458" t="s">
        <v>89</v>
      </c>
      <c r="BG5" s="524" t="s">
        <v>90</v>
      </c>
      <c r="BH5" s="547" t="s">
        <v>232</v>
      </c>
      <c r="BI5" s="550" t="s">
        <v>407</v>
      </c>
      <c r="BJ5" s="553" t="s">
        <v>408</v>
      </c>
      <c r="BK5" s="550" t="s">
        <v>409</v>
      </c>
      <c r="BL5" s="546" t="s">
        <v>402</v>
      </c>
      <c r="BM5" s="549" t="s">
        <v>89</v>
      </c>
      <c r="BN5" s="645" t="s">
        <v>386</v>
      </c>
      <c r="BO5" s="644" t="s">
        <v>392</v>
      </c>
      <c r="BP5" s="634" t="s">
        <v>89</v>
      </c>
      <c r="BQ5" s="635" t="s">
        <v>90</v>
      </c>
      <c r="BR5" s="720" t="s">
        <v>90</v>
      </c>
      <c r="BS5" s="644" t="s">
        <v>232</v>
      </c>
      <c r="BT5" s="631" t="s">
        <v>407</v>
      </c>
      <c r="BU5" s="632" t="s">
        <v>408</v>
      </c>
      <c r="BV5" s="631" t="s">
        <v>409</v>
      </c>
      <c r="BW5" s="633" t="s">
        <v>402</v>
      </c>
      <c r="BX5" s="634" t="s">
        <v>89</v>
      </c>
      <c r="BY5" s="635" t="s">
        <v>90</v>
      </c>
    </row>
    <row r="6" spans="1:77" s="109" customFormat="1" ht="13">
      <c r="A6" s="104" t="s">
        <v>0</v>
      </c>
      <c r="E6" s="108"/>
      <c r="H6" s="108"/>
      <c r="K6" s="108"/>
      <c r="L6" s="105"/>
      <c r="M6" s="105"/>
      <c r="N6" s="106"/>
      <c r="O6" s="105"/>
      <c r="P6" s="105"/>
      <c r="Q6" s="105"/>
      <c r="R6" s="107"/>
      <c r="S6" s="107"/>
      <c r="T6" s="108"/>
      <c r="U6" s="108"/>
      <c r="V6" s="108"/>
      <c r="W6" s="108"/>
      <c r="X6" s="175"/>
      <c r="Y6" s="158"/>
      <c r="Z6" s="111"/>
      <c r="AA6" s="158"/>
      <c r="AB6" s="159"/>
      <c r="AC6" s="113"/>
      <c r="AF6" s="107"/>
      <c r="AG6" s="107"/>
      <c r="AX6" s="107"/>
      <c r="AY6" s="107"/>
      <c r="AZ6" s="125"/>
      <c r="BA6" s="125"/>
      <c r="BB6" s="125"/>
      <c r="BC6" s="125"/>
      <c r="BD6" s="125"/>
      <c r="BE6" s="107"/>
      <c r="BF6" s="107"/>
      <c r="BG6" s="125"/>
      <c r="BH6" s="125"/>
      <c r="BI6" s="125"/>
      <c r="BJ6" s="125"/>
      <c r="BK6" s="125"/>
      <c r="BN6" s="554"/>
      <c r="BO6" s="680"/>
      <c r="BS6" s="554"/>
    </row>
    <row r="7" spans="1:77" ht="18" customHeight="1">
      <c r="A7" s="53" t="s">
        <v>1</v>
      </c>
      <c r="B7" s="322">
        <v>10531</v>
      </c>
      <c r="C7" s="322">
        <v>12271</v>
      </c>
      <c r="D7" s="322">
        <f>C7-B7</f>
        <v>1740</v>
      </c>
      <c r="E7" s="351">
        <f>(C7-B7)/B7</f>
        <v>0.16522647421897255</v>
      </c>
      <c r="F7" s="10">
        <v>12525</v>
      </c>
      <c r="G7" s="10">
        <f>F7-C7</f>
        <v>254</v>
      </c>
      <c r="H7" s="14">
        <f>(F7-C7)/F7</f>
        <v>2.0279441117764471E-2</v>
      </c>
      <c r="I7" s="10">
        <v>11397</v>
      </c>
      <c r="J7" s="10">
        <f>I7-F7</f>
        <v>-1128</v>
      </c>
      <c r="K7" s="14">
        <f>(I7-F7)/F7</f>
        <v>-9.0059880239520954E-2</v>
      </c>
      <c r="L7" s="52">
        <v>11819</v>
      </c>
      <c r="M7" s="52">
        <v>422</v>
      </c>
      <c r="N7" s="58">
        <v>3.7027287882776171E-2</v>
      </c>
      <c r="O7" s="52">
        <v>12366</v>
      </c>
      <c r="P7" s="52">
        <f>O7-L7</f>
        <v>547</v>
      </c>
      <c r="Q7" s="58">
        <f t="shared" ref="Q7:Q34" si="0">P7/L7</f>
        <v>4.6281411286910906E-2</v>
      </c>
      <c r="R7" s="52">
        <v>13430</v>
      </c>
      <c r="S7" s="52">
        <f t="shared" ref="S7:S41" si="1">R7-O7</f>
        <v>1064</v>
      </c>
      <c r="T7" s="58">
        <f t="shared" ref="T7:T34" si="2">S7/O7</f>
        <v>8.6042374251981232E-2</v>
      </c>
      <c r="U7" s="52">
        <v>16665</v>
      </c>
      <c r="V7" s="52">
        <f>U7-R7</f>
        <v>3235</v>
      </c>
      <c r="W7" s="58">
        <f>V7/R7</f>
        <v>0.24087862993298587</v>
      </c>
      <c r="X7" s="166">
        <v>18824</v>
      </c>
      <c r="Y7" s="52">
        <f t="shared" ref="Y7:Y21" si="3">X7-U7</f>
        <v>2159</v>
      </c>
      <c r="Z7" s="95">
        <f>Y7/U7</f>
        <v>0.12955295529552954</v>
      </c>
      <c r="AA7" s="202">
        <v>20396</v>
      </c>
      <c r="AB7" s="172">
        <f t="shared" ref="AB7:AB34" si="4">AA7-X7</f>
        <v>1572</v>
      </c>
      <c r="AC7" s="100">
        <f t="shared" ref="AC7:AC13" si="5">AB7/X7</f>
        <v>8.3510412239694007E-2</v>
      </c>
      <c r="AD7" s="65">
        <v>19833</v>
      </c>
      <c r="AE7" s="65"/>
      <c r="AF7" s="52">
        <v>18768</v>
      </c>
      <c r="AG7" s="52">
        <f>AF7-AA7</f>
        <v>-1628</v>
      </c>
      <c r="AH7" s="58">
        <f>AG7/AA7</f>
        <v>-7.9819572465189254E-2</v>
      </c>
      <c r="AI7" s="65">
        <f>19833-133</f>
        <v>19700</v>
      </c>
      <c r="AJ7" s="50">
        <f>19833-133</f>
        <v>19700</v>
      </c>
      <c r="AK7" s="136">
        <v>20211</v>
      </c>
      <c r="AM7" s="256">
        <f>+AL7+AK7</f>
        <v>20211</v>
      </c>
      <c r="AN7" s="50">
        <v>19175</v>
      </c>
      <c r="AO7" s="50">
        <v>19175</v>
      </c>
      <c r="AP7" s="261">
        <v>0</v>
      </c>
      <c r="AQ7" s="261">
        <v>0</v>
      </c>
      <c r="AR7" s="65">
        <f>AP7+AQ7</f>
        <v>0</v>
      </c>
      <c r="AS7" s="52">
        <f>BB7+AR7</f>
        <v>18265.161779999999</v>
      </c>
      <c r="AT7" s="65">
        <f>AS7-AF7</f>
        <v>-502.83822000000146</v>
      </c>
      <c r="AU7" s="99">
        <f>AT7/AF7</f>
        <v>-2.6792317774936139E-2</v>
      </c>
      <c r="AV7" s="65">
        <f t="shared" ref="AV7:AV13" si="6">+AS7-AF7</f>
        <v>-502.83822000000146</v>
      </c>
      <c r="AW7" s="99">
        <f t="shared" ref="AW7:AW13" si="7">+AV7/AF7</f>
        <v>-2.6792317774936139E-2</v>
      </c>
      <c r="AX7" s="52">
        <v>19225</v>
      </c>
      <c r="AY7" s="52">
        <f>AX7-AF7</f>
        <v>457</v>
      </c>
      <c r="AZ7" s="58">
        <f>AY7/AF7</f>
        <v>2.434995737425405E-2</v>
      </c>
      <c r="BA7" s="616">
        <v>18265.161779999999</v>
      </c>
      <c r="BB7" s="616">
        <v>18265.161779999999</v>
      </c>
      <c r="BC7" s="616">
        <f>BA7-BB7</f>
        <v>0</v>
      </c>
      <c r="BD7" s="31">
        <f>BC7/BA7</f>
        <v>0</v>
      </c>
      <c r="BE7" s="52">
        <v>19026</v>
      </c>
      <c r="BF7" s="52">
        <f>BE7-AX7</f>
        <v>-199</v>
      </c>
      <c r="BG7" s="58">
        <f>BF7/AX7</f>
        <v>-1.035110533159948E-2</v>
      </c>
      <c r="BH7" s="65">
        <v>0</v>
      </c>
      <c r="BI7" s="65"/>
      <c r="BJ7" s="65"/>
      <c r="BK7" s="65"/>
      <c r="BL7" s="39">
        <f>BE7+BH7+BI7+BJ7+BK7</f>
        <v>19026</v>
      </c>
      <c r="BM7" s="39">
        <f>BL7-AS7</f>
        <v>760.83822000000146</v>
      </c>
      <c r="BN7" s="39">
        <v>20194</v>
      </c>
      <c r="BO7" s="681">
        <v>21007</v>
      </c>
      <c r="BP7" s="39">
        <f>BO7-BE7</f>
        <v>1981</v>
      </c>
      <c r="BQ7" s="51">
        <f t="shared" ref="BQ7:BQ38" si="8">BM7/AS7</f>
        <v>4.1655159103660647E-2</v>
      </c>
      <c r="BR7" s="99">
        <f>BP7/BE7</f>
        <v>0.10412067696835908</v>
      </c>
      <c r="BS7" s="39">
        <v>5.5339999999999998</v>
      </c>
      <c r="BV7" s="39">
        <v>4.569</v>
      </c>
      <c r="BW7" s="280">
        <f t="shared" ref="BW7:BW13" si="9">BN7+BS7+BT7+BU7+BV7</f>
        <v>20204.102999999999</v>
      </c>
      <c r="BX7" s="39">
        <f>BW7-BL7</f>
        <v>1178.1029999999992</v>
      </c>
      <c r="BY7" s="51">
        <f t="shared" ref="BY7:BY49" si="10">BX7/BL7</f>
        <v>6.1920687480290088E-2</v>
      </c>
    </row>
    <row r="8" spans="1:77" ht="18" customHeight="1">
      <c r="A8" s="53" t="s">
        <v>201</v>
      </c>
      <c r="B8" s="322">
        <v>1049</v>
      </c>
      <c r="C8" s="322">
        <v>1274</v>
      </c>
      <c r="D8" s="322">
        <f t="shared" ref="D8:D34" si="11">C8-B8</f>
        <v>225</v>
      </c>
      <c r="E8" s="351">
        <f t="shared" ref="E8:E41" si="12">(C8-B8)/B8</f>
        <v>0.21448999046711154</v>
      </c>
      <c r="F8" s="10">
        <v>1283</v>
      </c>
      <c r="G8" s="10">
        <f t="shared" ref="G8:G41" si="13">F8-C8</f>
        <v>9</v>
      </c>
      <c r="H8" s="14">
        <f t="shared" ref="H8:H41" si="14">(F8-C8)/F8</f>
        <v>7.014809041309431E-3</v>
      </c>
      <c r="I8" s="10">
        <v>1429</v>
      </c>
      <c r="J8" s="10">
        <f t="shared" ref="J8:J34" si="15">I8-F8</f>
        <v>146</v>
      </c>
      <c r="K8" s="14">
        <f t="shared" ref="K8:K34" si="16">(I8-F8)/F8</f>
        <v>0.11379579111457522</v>
      </c>
      <c r="L8" s="52">
        <v>1555</v>
      </c>
      <c r="M8" s="52">
        <v>126</v>
      </c>
      <c r="N8" s="58">
        <v>8.8173547935619309E-2</v>
      </c>
      <c r="O8" s="52">
        <v>1663</v>
      </c>
      <c r="P8" s="52">
        <f t="shared" ref="P8:P34" si="17">O8-L8</f>
        <v>108</v>
      </c>
      <c r="Q8" s="58">
        <f t="shared" si="0"/>
        <v>6.9453376205787787E-2</v>
      </c>
      <c r="R8" s="52">
        <v>1928</v>
      </c>
      <c r="S8" s="52">
        <f t="shared" si="1"/>
        <v>265</v>
      </c>
      <c r="T8" s="58">
        <f t="shared" si="2"/>
        <v>0.15935057125676488</v>
      </c>
      <c r="U8" s="52">
        <v>1949</v>
      </c>
      <c r="V8" s="52">
        <f t="shared" ref="V8:V10" si="18">U8-R8</f>
        <v>21</v>
      </c>
      <c r="W8" s="58">
        <f t="shared" ref="W8:W34" si="19">V8/R8</f>
        <v>1.0892116182572614E-2</v>
      </c>
      <c r="X8" s="166">
        <v>2419</v>
      </c>
      <c r="Y8" s="52">
        <f t="shared" si="3"/>
        <v>470</v>
      </c>
      <c r="Z8" s="95">
        <f>Y8/U8</f>
        <v>0.24114930733709594</v>
      </c>
      <c r="AA8" s="202">
        <v>4036</v>
      </c>
      <c r="AB8" s="172">
        <f t="shared" si="4"/>
        <v>1617</v>
      </c>
      <c r="AC8" s="100">
        <f t="shared" si="5"/>
        <v>0.66845804051260849</v>
      </c>
      <c r="AD8" s="65">
        <v>4119</v>
      </c>
      <c r="AE8" s="65"/>
      <c r="AF8" s="52">
        <v>3858</v>
      </c>
      <c r="AG8" s="52">
        <f t="shared" ref="AG8:AG37" si="20">AF8-AA8</f>
        <v>-178</v>
      </c>
      <c r="AH8" s="58">
        <f t="shared" ref="AH8:AH37" si="21">AG8/AA8</f>
        <v>-4.410307234886026E-2</v>
      </c>
      <c r="AI8" s="65">
        <f>4119-30</f>
        <v>4089</v>
      </c>
      <c r="AJ8" s="50">
        <f>4119-30</f>
        <v>4089</v>
      </c>
      <c r="AK8" s="136">
        <v>4151</v>
      </c>
      <c r="AM8" s="256">
        <f t="shared" ref="AM8:AM41" si="22">+AL8+AK8</f>
        <v>4151</v>
      </c>
      <c r="AN8" s="50">
        <v>3968</v>
      </c>
      <c r="AO8" s="50">
        <v>3968</v>
      </c>
      <c r="AP8" s="261">
        <v>0</v>
      </c>
      <c r="AQ8" s="261">
        <v>0</v>
      </c>
      <c r="AR8" s="65">
        <f t="shared" ref="AR8:AR38" si="23">AP8+AQ8</f>
        <v>0</v>
      </c>
      <c r="AS8" s="52">
        <f t="shared" ref="AS8:AS40" si="24">BB8+AR8</f>
        <v>3435.5985900000001</v>
      </c>
      <c r="AT8" s="65">
        <f t="shared" ref="AT8:AT41" si="25">AS8-AF8</f>
        <v>-422.40140999999994</v>
      </c>
      <c r="AU8" s="99">
        <f t="shared" ref="AU8:AU41" si="26">AT8/AF8</f>
        <v>-0.1094871461897356</v>
      </c>
      <c r="AV8" s="65">
        <f t="shared" si="6"/>
        <v>-422.40140999999994</v>
      </c>
      <c r="AW8" s="99">
        <f t="shared" si="7"/>
        <v>-0.1094871461897356</v>
      </c>
      <c r="AX8" s="52">
        <v>3840</v>
      </c>
      <c r="AY8" s="52">
        <f t="shared" ref="AY8:AY72" si="27">AX8-AF8</f>
        <v>-18</v>
      </c>
      <c r="AZ8" s="58">
        <f t="shared" ref="AZ8:AZ72" si="28">AY8/AF8</f>
        <v>-4.6656298600311046E-3</v>
      </c>
      <c r="BA8" s="616">
        <v>3839.6687700000002</v>
      </c>
      <c r="BB8" s="616">
        <v>3435.5985900000001</v>
      </c>
      <c r="BC8" s="616">
        <f t="shared" ref="BC8:BC40" si="29">BA8-BB8</f>
        <v>404.07018000000016</v>
      </c>
      <c r="BD8" s="31">
        <f t="shared" ref="BD8:BD39" si="30">BC8/BA8</f>
        <v>0.1052356867751382</v>
      </c>
      <c r="BE8" s="52">
        <v>3686</v>
      </c>
      <c r="BF8" s="52">
        <f>BE8-AX8</f>
        <v>-154</v>
      </c>
      <c r="BG8" s="58">
        <f>BF8/AX8</f>
        <v>-4.010416666666667E-2</v>
      </c>
      <c r="BH8" s="65">
        <v>0</v>
      </c>
      <c r="BI8" s="65"/>
      <c r="BJ8" s="65"/>
      <c r="BK8" s="65">
        <v>1</v>
      </c>
      <c r="BL8" s="39">
        <f t="shared" ref="BL8:BL72" si="31">BE8+BH8+BI8+BJ8+BK8</f>
        <v>3687</v>
      </c>
      <c r="BM8" s="39">
        <f t="shared" ref="BM8:BM38" si="32">BL8-AS8</f>
        <v>251.40140999999994</v>
      </c>
      <c r="BN8" s="39">
        <v>3751</v>
      </c>
      <c r="BO8" s="681">
        <v>3951</v>
      </c>
      <c r="BP8" s="39">
        <f t="shared" ref="BP8:BP71" si="33">BO8-BE8</f>
        <v>265</v>
      </c>
      <c r="BQ8" s="51">
        <f t="shared" si="8"/>
        <v>7.3175431708394065E-2</v>
      </c>
      <c r="BR8" s="99">
        <f t="shared" ref="BR8:BR71" si="34">BP8/BE8</f>
        <v>7.1893651654910476E-2</v>
      </c>
      <c r="BS8" s="39">
        <v>569.24900000000002</v>
      </c>
      <c r="BV8" s="39">
        <v>0.67200000000000004</v>
      </c>
      <c r="BW8" s="280">
        <f t="shared" si="9"/>
        <v>4320.9209999999994</v>
      </c>
      <c r="BX8" s="39">
        <f t="shared" ref="BX8:BX49" si="35">BW8-BL8</f>
        <v>633.92099999999937</v>
      </c>
      <c r="BY8" s="51">
        <f t="shared" si="10"/>
        <v>0.17193409275833993</v>
      </c>
    </row>
    <row r="9" spans="1:77" ht="18" customHeight="1">
      <c r="A9" s="53" t="s">
        <v>202</v>
      </c>
      <c r="B9" s="322">
        <v>464</v>
      </c>
      <c r="C9" s="322">
        <v>593</v>
      </c>
      <c r="D9" s="322">
        <f t="shared" si="11"/>
        <v>129</v>
      </c>
      <c r="E9" s="351">
        <f t="shared" si="12"/>
        <v>0.27801724137931033</v>
      </c>
      <c r="F9" s="10">
        <v>521</v>
      </c>
      <c r="G9" s="10">
        <f t="shared" si="13"/>
        <v>-72</v>
      </c>
      <c r="H9" s="14">
        <f t="shared" si="14"/>
        <v>-0.13819577735124761</v>
      </c>
      <c r="I9" s="10">
        <v>843</v>
      </c>
      <c r="J9" s="10">
        <f t="shared" si="15"/>
        <v>322</v>
      </c>
      <c r="K9" s="14">
        <f t="shared" si="16"/>
        <v>0.61804222648752394</v>
      </c>
      <c r="L9" s="52">
        <v>779</v>
      </c>
      <c r="M9" s="52">
        <v>-64</v>
      </c>
      <c r="N9" s="58">
        <v>-7.591933570581258E-2</v>
      </c>
      <c r="O9" s="52">
        <v>893</v>
      </c>
      <c r="P9" s="52">
        <f t="shared" si="17"/>
        <v>114</v>
      </c>
      <c r="Q9" s="58">
        <f t="shared" si="0"/>
        <v>0.14634146341463414</v>
      </c>
      <c r="R9" s="52">
        <v>956</v>
      </c>
      <c r="S9" s="52">
        <f t="shared" si="1"/>
        <v>63</v>
      </c>
      <c r="T9" s="58">
        <f t="shared" si="2"/>
        <v>7.0548712206047026E-2</v>
      </c>
      <c r="U9" s="52">
        <v>883</v>
      </c>
      <c r="V9" s="52">
        <f t="shared" si="18"/>
        <v>-73</v>
      </c>
      <c r="W9" s="58">
        <f t="shared" si="19"/>
        <v>-7.6359832635983269E-2</v>
      </c>
      <c r="X9" s="166">
        <v>945</v>
      </c>
      <c r="Y9" s="52">
        <f t="shared" si="3"/>
        <v>62</v>
      </c>
      <c r="Z9" s="95">
        <f>Y9/U9</f>
        <v>7.0215175537938851E-2</v>
      </c>
      <c r="AA9" s="202">
        <v>1092</v>
      </c>
      <c r="AB9" s="172">
        <f t="shared" si="4"/>
        <v>147</v>
      </c>
      <c r="AC9" s="100">
        <f t="shared" si="5"/>
        <v>0.15555555555555556</v>
      </c>
      <c r="AD9" s="65">
        <v>1001</v>
      </c>
      <c r="AE9" s="65"/>
      <c r="AF9" s="52">
        <v>920</v>
      </c>
      <c r="AG9" s="52">
        <f t="shared" si="20"/>
        <v>-172</v>
      </c>
      <c r="AH9" s="58">
        <f t="shared" si="21"/>
        <v>-0.1575091575091575</v>
      </c>
      <c r="AI9" s="65">
        <f>1001-7</f>
        <v>994</v>
      </c>
      <c r="AJ9" s="50">
        <f>1001-7</f>
        <v>994</v>
      </c>
      <c r="AK9" s="136">
        <v>1023</v>
      </c>
      <c r="AM9" s="256">
        <f t="shared" si="22"/>
        <v>1023</v>
      </c>
      <c r="AN9" s="50">
        <v>962</v>
      </c>
      <c r="AO9" s="50">
        <v>962</v>
      </c>
      <c r="AP9" s="261">
        <v>0</v>
      </c>
      <c r="AQ9" s="261">
        <v>0</v>
      </c>
      <c r="AR9" s="65">
        <f t="shared" si="23"/>
        <v>0</v>
      </c>
      <c r="AS9" s="52">
        <f t="shared" si="24"/>
        <v>833.00954999999999</v>
      </c>
      <c r="AT9" s="65">
        <f t="shared" si="25"/>
        <v>-86.99045000000001</v>
      </c>
      <c r="AU9" s="99">
        <f t="shared" si="26"/>
        <v>-9.4554836956521754E-2</v>
      </c>
      <c r="AV9" s="65">
        <f t="shared" si="6"/>
        <v>-86.99045000000001</v>
      </c>
      <c r="AW9" s="99">
        <f t="shared" si="7"/>
        <v>-9.4554836956521754E-2</v>
      </c>
      <c r="AX9" s="52">
        <v>889</v>
      </c>
      <c r="AY9" s="52">
        <f t="shared" si="27"/>
        <v>-31</v>
      </c>
      <c r="AZ9" s="58">
        <f t="shared" si="28"/>
        <v>-3.3695652173913043E-2</v>
      </c>
      <c r="BA9" s="616">
        <v>889.07561999999996</v>
      </c>
      <c r="BB9" s="616">
        <v>833.00954999999999</v>
      </c>
      <c r="BC9" s="616">
        <f t="shared" si="29"/>
        <v>56.066069999999968</v>
      </c>
      <c r="BD9" s="31">
        <f t="shared" si="30"/>
        <v>6.3061081350987855E-2</v>
      </c>
      <c r="BE9" s="52">
        <v>889</v>
      </c>
      <c r="BF9" s="52">
        <f>BE9-AX9</f>
        <v>0</v>
      </c>
      <c r="BG9" s="58">
        <f>BF9/AX9</f>
        <v>0</v>
      </c>
      <c r="BH9" s="65">
        <v>0</v>
      </c>
      <c r="BI9" s="65"/>
      <c r="BJ9" s="65"/>
      <c r="BK9" s="65"/>
      <c r="BL9" s="39">
        <f t="shared" si="31"/>
        <v>889</v>
      </c>
      <c r="BM9" s="39">
        <f t="shared" si="32"/>
        <v>55.99045000000001</v>
      </c>
      <c r="BN9" s="39">
        <v>894</v>
      </c>
      <c r="BO9" s="681">
        <v>894</v>
      </c>
      <c r="BP9" s="39">
        <f t="shared" si="33"/>
        <v>5</v>
      </c>
      <c r="BQ9" s="51">
        <f t="shared" si="8"/>
        <v>6.7214655582279959E-2</v>
      </c>
      <c r="BR9" s="99">
        <f t="shared" si="34"/>
        <v>5.6242969628796397E-3</v>
      </c>
      <c r="BV9" s="39">
        <v>0.25</v>
      </c>
      <c r="BW9" s="280">
        <f t="shared" si="9"/>
        <v>894.25</v>
      </c>
      <c r="BX9" s="39">
        <f t="shared" si="35"/>
        <v>5.25</v>
      </c>
      <c r="BY9" s="51">
        <f t="shared" si="10"/>
        <v>5.905511811023622E-3</v>
      </c>
    </row>
    <row r="10" spans="1:77" s="79" customFormat="1" ht="18" customHeight="1">
      <c r="A10" s="53" t="s">
        <v>203</v>
      </c>
      <c r="B10" s="323">
        <v>5237</v>
      </c>
      <c r="C10" s="323">
        <v>6183</v>
      </c>
      <c r="D10" s="323">
        <f t="shared" si="11"/>
        <v>946</v>
      </c>
      <c r="E10" s="352">
        <f t="shared" si="12"/>
        <v>0.18063776971548595</v>
      </c>
      <c r="F10" s="582">
        <v>7104</v>
      </c>
      <c r="G10" s="582">
        <f t="shared" si="13"/>
        <v>921</v>
      </c>
      <c r="H10" s="274">
        <f t="shared" si="14"/>
        <v>0.12964527027027026</v>
      </c>
      <c r="I10" s="582">
        <v>5831</v>
      </c>
      <c r="J10" s="582">
        <f t="shared" si="15"/>
        <v>-1273</v>
      </c>
      <c r="K10" s="274">
        <f t="shared" si="16"/>
        <v>-0.17919481981981983</v>
      </c>
      <c r="L10" s="62">
        <v>6166</v>
      </c>
      <c r="M10" s="62">
        <v>335</v>
      </c>
      <c r="N10" s="241">
        <v>5.7451552049391182E-2</v>
      </c>
      <c r="O10" s="62">
        <v>6039</v>
      </c>
      <c r="P10" s="62">
        <f t="shared" si="17"/>
        <v>-127</v>
      </c>
      <c r="Q10" s="241">
        <f t="shared" si="0"/>
        <v>-2.0596821277975998E-2</v>
      </c>
      <c r="R10" s="62">
        <v>10314</v>
      </c>
      <c r="S10" s="62">
        <f t="shared" si="1"/>
        <v>4275</v>
      </c>
      <c r="T10" s="241">
        <f t="shared" si="2"/>
        <v>0.7078986587183308</v>
      </c>
      <c r="U10" s="62">
        <v>12645</v>
      </c>
      <c r="V10" s="62">
        <f t="shared" si="18"/>
        <v>2331</v>
      </c>
      <c r="W10" s="241">
        <f t="shared" si="19"/>
        <v>0.22600349040139617</v>
      </c>
      <c r="X10" s="166">
        <f>6847+2702+328</f>
        <v>9877</v>
      </c>
      <c r="Y10" s="62">
        <f t="shared" si="3"/>
        <v>-2768</v>
      </c>
      <c r="Z10" s="95">
        <f>Y10/U10</f>
        <v>-0.21890075128509293</v>
      </c>
      <c r="AA10" s="202">
        <f>6086+3093+410</f>
        <v>9589</v>
      </c>
      <c r="AB10" s="583">
        <f t="shared" si="4"/>
        <v>-288</v>
      </c>
      <c r="AC10" s="584">
        <f t="shared" si="5"/>
        <v>-2.9158651412372179E-2</v>
      </c>
      <c r="AD10" s="78">
        <f>5349+3022+434</f>
        <v>8805</v>
      </c>
      <c r="AE10" s="78"/>
      <c r="AF10" s="62">
        <f>4333+2678+355</f>
        <v>7366</v>
      </c>
      <c r="AG10" s="62">
        <f t="shared" si="20"/>
        <v>-2223</v>
      </c>
      <c r="AH10" s="241">
        <f t="shared" si="21"/>
        <v>-0.23182813640629887</v>
      </c>
      <c r="AI10" s="78">
        <f>5349-200</f>
        <v>5149</v>
      </c>
      <c r="AJ10" s="585">
        <f>5349-200</f>
        <v>5149</v>
      </c>
      <c r="AK10" s="136">
        <v>5451</v>
      </c>
      <c r="AM10" s="202">
        <f t="shared" si="22"/>
        <v>5451</v>
      </c>
      <c r="AN10" s="585">
        <v>4544</v>
      </c>
      <c r="AO10" s="585">
        <v>4544</v>
      </c>
      <c r="AP10" s="537">
        <v>6</v>
      </c>
      <c r="AQ10" s="537">
        <v>89</v>
      </c>
      <c r="AR10" s="78">
        <f t="shared" si="23"/>
        <v>95</v>
      </c>
      <c r="AS10" s="52">
        <f t="shared" si="24"/>
        <v>8105.1669300000003</v>
      </c>
      <c r="AT10" s="78">
        <f t="shared" si="25"/>
        <v>739.16693000000032</v>
      </c>
      <c r="AU10" s="260">
        <f t="shared" si="26"/>
        <v>0.10034848357317408</v>
      </c>
      <c r="AV10" s="78">
        <f t="shared" si="6"/>
        <v>739.16693000000032</v>
      </c>
      <c r="AW10" s="260">
        <f t="shared" si="7"/>
        <v>0.10034848357317408</v>
      </c>
      <c r="AX10" s="62">
        <v>8681</v>
      </c>
      <c r="AY10" s="62">
        <f t="shared" si="27"/>
        <v>1315</v>
      </c>
      <c r="AZ10" s="241">
        <f t="shared" si="28"/>
        <v>0.17852294325278306</v>
      </c>
      <c r="BA10" s="616">
        <v>8359.1861499999995</v>
      </c>
      <c r="BB10" s="616">
        <v>8010.1669300000003</v>
      </c>
      <c r="BC10" s="616">
        <f t="shared" si="29"/>
        <v>349.01921999999922</v>
      </c>
      <c r="BD10" s="31">
        <f t="shared" si="30"/>
        <v>4.1752775178956772E-2</v>
      </c>
      <c r="BE10" s="205">
        <v>8259</v>
      </c>
      <c r="BF10" s="62">
        <f>BE10-AX10</f>
        <v>-422</v>
      </c>
      <c r="BG10" s="241">
        <f>BF10/AX10</f>
        <v>-4.861191107015321E-2</v>
      </c>
      <c r="BH10" s="586">
        <v>6</v>
      </c>
      <c r="BI10" s="78">
        <v>0</v>
      </c>
      <c r="BJ10" s="78"/>
      <c r="BK10" s="78">
        <v>75</v>
      </c>
      <c r="BL10" s="487">
        <f>BE10+BH10+BI10+BJ10+BK10</f>
        <v>8340</v>
      </c>
      <c r="BM10" s="487">
        <f t="shared" si="32"/>
        <v>234.83306999999968</v>
      </c>
      <c r="BN10" s="487">
        <v>8435</v>
      </c>
      <c r="BO10" s="681">
        <v>8435</v>
      </c>
      <c r="BP10" s="39">
        <f t="shared" si="33"/>
        <v>176</v>
      </c>
      <c r="BQ10" s="579">
        <f t="shared" si="8"/>
        <v>2.8973255212153867E-2</v>
      </c>
      <c r="BR10" s="99">
        <f t="shared" si="34"/>
        <v>2.1310085966824072E-2</v>
      </c>
      <c r="BS10" s="487">
        <v>5.4809999999999999</v>
      </c>
      <c r="BV10" s="657">
        <v>322.68799999999999</v>
      </c>
      <c r="BW10" s="280">
        <f t="shared" si="9"/>
        <v>8763.1689999999999</v>
      </c>
      <c r="BX10" s="39">
        <f t="shared" si="35"/>
        <v>423.16899999999987</v>
      </c>
      <c r="BY10" s="51">
        <f t="shared" si="10"/>
        <v>5.0739688249400464E-2</v>
      </c>
    </row>
    <row r="11" spans="1:77" s="79" customFormat="1" ht="18" customHeight="1">
      <c r="A11" s="245" t="s">
        <v>442</v>
      </c>
      <c r="B11" s="587" t="s">
        <v>78</v>
      </c>
      <c r="C11" s="587" t="s">
        <v>78</v>
      </c>
      <c r="D11" s="587" t="s">
        <v>78</v>
      </c>
      <c r="E11" s="587" t="s">
        <v>78</v>
      </c>
      <c r="F11" s="587" t="s">
        <v>78</v>
      </c>
      <c r="G11" s="587" t="s">
        <v>78</v>
      </c>
      <c r="H11" s="587" t="s">
        <v>78</v>
      </c>
      <c r="I11" s="587" t="s">
        <v>78</v>
      </c>
      <c r="J11" s="587" t="s">
        <v>78</v>
      </c>
      <c r="K11" s="587" t="s">
        <v>78</v>
      </c>
      <c r="L11" s="62">
        <v>0</v>
      </c>
      <c r="M11" s="62">
        <v>0</v>
      </c>
      <c r="N11" s="588" t="s">
        <v>78</v>
      </c>
      <c r="O11" s="62"/>
      <c r="P11" s="62"/>
      <c r="Q11" s="588"/>
      <c r="R11" s="62"/>
      <c r="S11" s="62"/>
      <c r="T11" s="588"/>
      <c r="U11" s="62"/>
      <c r="V11" s="62"/>
      <c r="W11" s="588"/>
      <c r="X11" s="525" t="s">
        <v>78</v>
      </c>
      <c r="Y11" s="589" t="s">
        <v>78</v>
      </c>
      <c r="Z11" s="37" t="s">
        <v>78</v>
      </c>
      <c r="AA11" s="526" t="s">
        <v>78</v>
      </c>
      <c r="AB11" s="588" t="s">
        <v>78</v>
      </c>
      <c r="AC11" s="526" t="s">
        <v>78</v>
      </c>
      <c r="AD11" s="589" t="s">
        <v>78</v>
      </c>
      <c r="AE11" s="589" t="s">
        <v>78</v>
      </c>
      <c r="AF11" s="590"/>
      <c r="AG11" s="590" t="s">
        <v>78</v>
      </c>
      <c r="AH11" s="589" t="s">
        <v>78</v>
      </c>
      <c r="AI11" s="78">
        <f>3022-100</f>
        <v>2922</v>
      </c>
      <c r="AJ11" s="585">
        <f>3022-100</f>
        <v>2922</v>
      </c>
      <c r="AK11" s="136">
        <v>3017</v>
      </c>
      <c r="AM11" s="202">
        <f t="shared" si="22"/>
        <v>3017</v>
      </c>
      <c r="AN11" s="585">
        <v>2676</v>
      </c>
      <c r="AO11" s="585">
        <v>2676</v>
      </c>
      <c r="AP11" s="591">
        <v>13</v>
      </c>
      <c r="AQ11" s="591">
        <v>8</v>
      </c>
      <c r="AR11" s="78">
        <f t="shared" si="23"/>
        <v>21</v>
      </c>
      <c r="AS11" s="52">
        <f t="shared" si="24"/>
        <v>21</v>
      </c>
      <c r="AT11" s="78">
        <f t="shared" si="25"/>
        <v>21</v>
      </c>
      <c r="AU11" s="260" t="e">
        <f t="shared" si="26"/>
        <v>#DIV/0!</v>
      </c>
      <c r="AV11" s="78">
        <f t="shared" si="6"/>
        <v>21</v>
      </c>
      <c r="AW11" s="260" t="e">
        <f t="shared" si="7"/>
        <v>#DIV/0!</v>
      </c>
      <c r="AX11" s="590"/>
      <c r="AY11" s="590" t="s">
        <v>78</v>
      </c>
      <c r="AZ11" s="589" t="s">
        <v>78</v>
      </c>
      <c r="BA11" s="589"/>
      <c r="BB11" s="589"/>
      <c r="BC11" s="616">
        <f t="shared" si="29"/>
        <v>0</v>
      </c>
      <c r="BD11" s="31"/>
      <c r="BE11" s="590"/>
      <c r="BF11" s="590" t="s">
        <v>78</v>
      </c>
      <c r="BG11" s="589" t="s">
        <v>78</v>
      </c>
      <c r="BH11" s="592">
        <v>13</v>
      </c>
      <c r="BI11" s="592"/>
      <c r="BJ11" s="592"/>
      <c r="BK11" s="592"/>
      <c r="BL11" s="487">
        <f t="shared" si="31"/>
        <v>13</v>
      </c>
      <c r="BM11" s="487">
        <f t="shared" si="32"/>
        <v>-8</v>
      </c>
      <c r="BN11" s="487">
        <v>0</v>
      </c>
      <c r="BO11" s="681">
        <v>0</v>
      </c>
      <c r="BP11" s="39">
        <f t="shared" si="33"/>
        <v>0</v>
      </c>
      <c r="BQ11" s="579">
        <f t="shared" si="8"/>
        <v>-0.38095238095238093</v>
      </c>
      <c r="BR11" s="99" t="e">
        <f t="shared" si="34"/>
        <v>#DIV/0!</v>
      </c>
      <c r="BS11" s="487">
        <v>90.355000000000004</v>
      </c>
      <c r="BV11" s="536">
        <v>3.5</v>
      </c>
      <c r="BW11" s="280">
        <f t="shared" si="9"/>
        <v>93.855000000000004</v>
      </c>
      <c r="BX11" s="39">
        <f t="shared" si="35"/>
        <v>80.855000000000004</v>
      </c>
      <c r="BY11" s="51">
        <f t="shared" si="10"/>
        <v>6.219615384615385</v>
      </c>
    </row>
    <row r="12" spans="1:77" s="79" customFormat="1" ht="18" customHeight="1">
      <c r="A12" s="245" t="s">
        <v>443</v>
      </c>
      <c r="B12" s="587" t="s">
        <v>78</v>
      </c>
      <c r="C12" s="587" t="s">
        <v>78</v>
      </c>
      <c r="D12" s="587" t="s">
        <v>78</v>
      </c>
      <c r="E12" s="587" t="s">
        <v>78</v>
      </c>
      <c r="F12" s="587" t="s">
        <v>78</v>
      </c>
      <c r="G12" s="587" t="s">
        <v>78</v>
      </c>
      <c r="H12" s="587" t="s">
        <v>78</v>
      </c>
      <c r="I12" s="587" t="s">
        <v>78</v>
      </c>
      <c r="J12" s="587" t="s">
        <v>78</v>
      </c>
      <c r="K12" s="587" t="s">
        <v>78</v>
      </c>
      <c r="L12" s="62">
        <v>0</v>
      </c>
      <c r="M12" s="62">
        <v>0</v>
      </c>
      <c r="N12" s="588" t="s">
        <v>78</v>
      </c>
      <c r="O12" s="62"/>
      <c r="P12" s="62"/>
      <c r="Q12" s="588"/>
      <c r="R12" s="62"/>
      <c r="S12" s="62"/>
      <c r="T12" s="588"/>
      <c r="U12" s="62"/>
      <c r="V12" s="62"/>
      <c r="W12" s="588"/>
      <c r="X12" s="525" t="s">
        <v>78</v>
      </c>
      <c r="Y12" s="589" t="s">
        <v>78</v>
      </c>
      <c r="Z12" s="37" t="s">
        <v>78</v>
      </c>
      <c r="AA12" s="526" t="s">
        <v>78</v>
      </c>
      <c r="AB12" s="588" t="s">
        <v>78</v>
      </c>
      <c r="AC12" s="526" t="s">
        <v>78</v>
      </c>
      <c r="AD12" s="526" t="s">
        <v>78</v>
      </c>
      <c r="AE12" s="526" t="s">
        <v>78</v>
      </c>
      <c r="AF12" s="590"/>
      <c r="AG12" s="590" t="s">
        <v>78</v>
      </c>
      <c r="AH12" s="589" t="s">
        <v>78</v>
      </c>
      <c r="AI12" s="537">
        <v>434</v>
      </c>
      <c r="AJ12" s="585">
        <v>434</v>
      </c>
      <c r="AK12" s="136">
        <v>472</v>
      </c>
      <c r="AM12" s="202">
        <f t="shared" si="22"/>
        <v>472</v>
      </c>
      <c r="AN12" s="585">
        <v>302</v>
      </c>
      <c r="AO12" s="585">
        <v>302</v>
      </c>
      <c r="AP12" s="591">
        <v>110</v>
      </c>
      <c r="AQ12" s="591">
        <v>0</v>
      </c>
      <c r="AR12" s="78">
        <f t="shared" si="23"/>
        <v>110</v>
      </c>
      <c r="AS12" s="52">
        <f t="shared" si="24"/>
        <v>110</v>
      </c>
      <c r="AT12" s="78">
        <f t="shared" si="25"/>
        <v>110</v>
      </c>
      <c r="AU12" s="260" t="e">
        <f t="shared" si="26"/>
        <v>#DIV/0!</v>
      </c>
      <c r="AV12" s="78">
        <f t="shared" si="6"/>
        <v>110</v>
      </c>
      <c r="AW12" s="260" t="e">
        <f t="shared" si="7"/>
        <v>#DIV/0!</v>
      </c>
      <c r="AX12" s="590"/>
      <c r="AY12" s="590" t="s">
        <v>78</v>
      </c>
      <c r="AZ12" s="589" t="s">
        <v>78</v>
      </c>
      <c r="BA12" s="589"/>
      <c r="BB12" s="589"/>
      <c r="BC12" s="616">
        <f t="shared" si="29"/>
        <v>0</v>
      </c>
      <c r="BD12" s="31"/>
      <c r="BE12" s="590"/>
      <c r="BF12" s="590" t="s">
        <v>78</v>
      </c>
      <c r="BG12" s="589" t="s">
        <v>78</v>
      </c>
      <c r="BH12" s="592">
        <v>103</v>
      </c>
      <c r="BI12" s="592"/>
      <c r="BJ12" s="592"/>
      <c r="BK12" s="592"/>
      <c r="BL12" s="487">
        <f t="shared" si="31"/>
        <v>103</v>
      </c>
      <c r="BM12" s="487">
        <f t="shared" si="32"/>
        <v>-7</v>
      </c>
      <c r="BN12" s="487">
        <v>0</v>
      </c>
      <c r="BO12" s="681">
        <v>0</v>
      </c>
      <c r="BP12" s="39">
        <f t="shared" si="33"/>
        <v>0</v>
      </c>
      <c r="BQ12" s="579">
        <f t="shared" si="8"/>
        <v>-6.363636363636363E-2</v>
      </c>
      <c r="BR12" s="99" t="e">
        <f t="shared" si="34"/>
        <v>#DIV/0!</v>
      </c>
      <c r="BS12" s="487">
        <v>103.727</v>
      </c>
      <c r="BV12" s="536">
        <v>22.492999999999999</v>
      </c>
      <c r="BW12" s="280">
        <f t="shared" si="9"/>
        <v>126.22</v>
      </c>
      <c r="BX12" s="39">
        <f t="shared" si="35"/>
        <v>23.22</v>
      </c>
      <c r="BY12" s="51">
        <f t="shared" si="10"/>
        <v>0.22543689320388349</v>
      </c>
    </row>
    <row r="13" spans="1:77" s="79" customFormat="1" ht="18" customHeight="1">
      <c r="A13" s="53" t="s">
        <v>205</v>
      </c>
      <c r="B13" s="323">
        <f>1706+177</f>
        <v>1883</v>
      </c>
      <c r="C13" s="323">
        <f>1748+574</f>
        <v>2322</v>
      </c>
      <c r="D13" s="323">
        <f t="shared" si="11"/>
        <v>439</v>
      </c>
      <c r="E13" s="352">
        <f t="shared" si="12"/>
        <v>0.23313860860329261</v>
      </c>
      <c r="F13" s="582">
        <f>2209+90</f>
        <v>2299</v>
      </c>
      <c r="G13" s="582">
        <f t="shared" si="13"/>
        <v>-23</v>
      </c>
      <c r="H13" s="274">
        <f t="shared" si="14"/>
        <v>-1.0004349717268378E-2</v>
      </c>
      <c r="I13" s="582">
        <f>2168+393</f>
        <v>2561</v>
      </c>
      <c r="J13" s="582">
        <f t="shared" si="15"/>
        <v>262</v>
      </c>
      <c r="K13" s="274">
        <f t="shared" si="16"/>
        <v>0.11396259243149195</v>
      </c>
      <c r="L13" s="62">
        <v>2664</v>
      </c>
      <c r="M13" s="62">
        <v>103</v>
      </c>
      <c r="N13" s="241">
        <v>4.0218664584146815E-2</v>
      </c>
      <c r="O13" s="62">
        <v>2856</v>
      </c>
      <c r="P13" s="62">
        <f t="shared" si="17"/>
        <v>192</v>
      </c>
      <c r="Q13" s="241">
        <f t="shared" si="0"/>
        <v>7.2072072072072071E-2</v>
      </c>
      <c r="R13" s="62">
        <v>3066</v>
      </c>
      <c r="S13" s="62">
        <f t="shared" si="1"/>
        <v>210</v>
      </c>
      <c r="T13" s="241">
        <f t="shared" si="2"/>
        <v>7.3529411764705885E-2</v>
      </c>
      <c r="U13" s="62">
        <v>3514</v>
      </c>
      <c r="V13" s="62">
        <f t="shared" ref="V13:V34" si="36">U13-R13</f>
        <v>448</v>
      </c>
      <c r="W13" s="241">
        <f t="shared" si="19"/>
        <v>0.14611872146118721</v>
      </c>
      <c r="X13" s="166">
        <v>3275</v>
      </c>
      <c r="Y13" s="62">
        <f t="shared" si="3"/>
        <v>-239</v>
      </c>
      <c r="Z13" s="95">
        <f t="shared" ref="Z13:Z18" si="37">Y13/U13</f>
        <v>-6.8013659647125788E-2</v>
      </c>
      <c r="AA13" s="202">
        <v>4304</v>
      </c>
      <c r="AB13" s="583">
        <f t="shared" si="4"/>
        <v>1029</v>
      </c>
      <c r="AC13" s="584">
        <f t="shared" si="5"/>
        <v>0.31419847328244277</v>
      </c>
      <c r="AD13" s="78">
        <v>2751</v>
      </c>
      <c r="AE13" s="78">
        <v>540</v>
      </c>
      <c r="AF13" s="62">
        <v>2947</v>
      </c>
      <c r="AG13" s="62">
        <f t="shared" si="20"/>
        <v>-1357</v>
      </c>
      <c r="AH13" s="241">
        <f t="shared" si="21"/>
        <v>-0.31528810408921931</v>
      </c>
      <c r="AI13" s="78">
        <f>2751-363</f>
        <v>2388</v>
      </c>
      <c r="AJ13" s="585">
        <f>3291-363</f>
        <v>2928</v>
      </c>
      <c r="AK13" s="136">
        <v>2689</v>
      </c>
      <c r="AL13" s="79">
        <v>150</v>
      </c>
      <c r="AM13" s="202">
        <f t="shared" si="22"/>
        <v>2839</v>
      </c>
      <c r="AN13" s="585">
        <v>2028</v>
      </c>
      <c r="AO13" s="585">
        <v>2727</v>
      </c>
      <c r="AP13" s="591">
        <v>313</v>
      </c>
      <c r="AQ13" s="591">
        <v>36</v>
      </c>
      <c r="AR13" s="78">
        <f t="shared" si="23"/>
        <v>349</v>
      </c>
      <c r="AS13" s="52">
        <f t="shared" si="24"/>
        <v>3220.0817099999999</v>
      </c>
      <c r="AT13" s="78">
        <f t="shared" si="25"/>
        <v>273.08170999999993</v>
      </c>
      <c r="AU13" s="260">
        <f t="shared" si="26"/>
        <v>9.266430607397351E-2</v>
      </c>
      <c r="AV13" s="78">
        <f t="shared" si="6"/>
        <v>273.08170999999993</v>
      </c>
      <c r="AW13" s="260">
        <f t="shared" si="7"/>
        <v>9.266430607397351E-2</v>
      </c>
      <c r="AX13" s="62">
        <v>2728</v>
      </c>
      <c r="AY13" s="62">
        <f t="shared" si="27"/>
        <v>-219</v>
      </c>
      <c r="AZ13" s="241">
        <f t="shared" si="28"/>
        <v>-7.4312860536138448E-2</v>
      </c>
      <c r="BA13" s="616">
        <f>2046.53795+1000</f>
        <v>3046.5379499999999</v>
      </c>
      <c r="BB13" s="616">
        <f>2012.79325+858.28846</f>
        <v>2871.0817099999999</v>
      </c>
      <c r="BC13" s="616">
        <f t="shared" si="29"/>
        <v>175.45623999999998</v>
      </c>
      <c r="BD13" s="31">
        <f t="shared" si="30"/>
        <v>5.7592008660190819E-2</v>
      </c>
      <c r="BE13" s="205">
        <f>2206+699</f>
        <v>2905</v>
      </c>
      <c r="BF13" s="62">
        <f t="shared" ref="BF13:BF38" si="38">BE13-AX13</f>
        <v>177</v>
      </c>
      <c r="BG13" s="241">
        <f t="shared" ref="BG13:BG38" si="39">BF13/AX13</f>
        <v>6.4882697947214074E-2</v>
      </c>
      <c r="BH13" s="78">
        <v>230</v>
      </c>
      <c r="BI13" s="78"/>
      <c r="BJ13" s="78"/>
      <c r="BK13" s="592">
        <v>31</v>
      </c>
      <c r="BL13" s="487">
        <f>BE13+BH13+BI13+BJ13+BK13</f>
        <v>3166</v>
      </c>
      <c r="BM13" s="487">
        <f t="shared" si="32"/>
        <v>-54.08170999999993</v>
      </c>
      <c r="BN13" s="487">
        <v>3246</v>
      </c>
      <c r="BO13" s="681">
        <v>3246</v>
      </c>
      <c r="BP13" s="39">
        <f t="shared" si="33"/>
        <v>341</v>
      </c>
      <c r="BQ13" s="579">
        <f t="shared" si="8"/>
        <v>-1.6795135922187492E-2</v>
      </c>
      <c r="BR13" s="99">
        <f t="shared" si="34"/>
        <v>0.11738382099827883</v>
      </c>
      <c r="BS13" s="487">
        <v>239.78700000000001</v>
      </c>
      <c r="BV13" s="487">
        <v>18.004999999999999</v>
      </c>
      <c r="BW13" s="280">
        <f t="shared" si="9"/>
        <v>3503.7919999999999</v>
      </c>
      <c r="BX13" s="39">
        <f t="shared" si="35"/>
        <v>337.79199999999992</v>
      </c>
      <c r="BY13" s="51">
        <f t="shared" si="10"/>
        <v>0.10669361970941248</v>
      </c>
    </row>
    <row r="14" spans="1:77" ht="18" customHeight="1">
      <c r="A14" s="59" t="s">
        <v>160</v>
      </c>
      <c r="B14" s="322">
        <v>0</v>
      </c>
      <c r="C14" s="322">
        <v>551</v>
      </c>
      <c r="D14" s="322">
        <f t="shared" si="11"/>
        <v>551</v>
      </c>
      <c r="E14" s="324" t="s">
        <v>78</v>
      </c>
      <c r="F14" s="10">
        <v>1850</v>
      </c>
      <c r="G14" s="10">
        <f t="shared" si="13"/>
        <v>1299</v>
      </c>
      <c r="H14" s="14">
        <f t="shared" si="14"/>
        <v>0.70216216216216221</v>
      </c>
      <c r="I14" s="10">
        <v>2207</v>
      </c>
      <c r="J14" s="10">
        <f t="shared" si="15"/>
        <v>357</v>
      </c>
      <c r="K14" s="14">
        <f t="shared" si="16"/>
        <v>0.19297297297297297</v>
      </c>
      <c r="L14" s="52">
        <v>2285</v>
      </c>
      <c r="M14" s="52">
        <v>78</v>
      </c>
      <c r="N14" s="58">
        <v>3.5342093339374714E-2</v>
      </c>
      <c r="O14" s="52">
        <v>361</v>
      </c>
      <c r="P14" s="52">
        <f t="shared" si="17"/>
        <v>-1924</v>
      </c>
      <c r="Q14" s="58">
        <f t="shared" si="0"/>
        <v>-0.84201312910284465</v>
      </c>
      <c r="R14" s="52">
        <v>328</v>
      </c>
      <c r="S14" s="52">
        <f t="shared" si="1"/>
        <v>-33</v>
      </c>
      <c r="T14" s="58">
        <f t="shared" si="2"/>
        <v>-9.141274238227147E-2</v>
      </c>
      <c r="U14" s="52">
        <v>246</v>
      </c>
      <c r="V14" s="52">
        <f t="shared" si="36"/>
        <v>-82</v>
      </c>
      <c r="W14" s="58">
        <f t="shared" si="19"/>
        <v>-0.25</v>
      </c>
      <c r="Y14" s="52">
        <f t="shared" si="3"/>
        <v>-246</v>
      </c>
      <c r="Z14" s="95">
        <f t="shared" si="37"/>
        <v>-1</v>
      </c>
      <c r="AB14" s="172">
        <f t="shared" si="4"/>
        <v>0</v>
      </c>
      <c r="AC14" s="70" t="s">
        <v>78</v>
      </c>
      <c r="AG14" s="52">
        <f t="shared" si="20"/>
        <v>0</v>
      </c>
      <c r="AH14" s="474" t="e">
        <f>AG14/AA14</f>
        <v>#DIV/0!</v>
      </c>
      <c r="AJ14" s="50">
        <v>0</v>
      </c>
      <c r="AM14" s="256"/>
      <c r="AN14" s="220"/>
      <c r="AO14" s="220"/>
      <c r="AP14" s="65"/>
      <c r="AQ14" s="65"/>
      <c r="AR14" s="65">
        <f t="shared" si="23"/>
        <v>0</v>
      </c>
      <c r="AS14" s="52">
        <f t="shared" si="24"/>
        <v>0</v>
      </c>
      <c r="AT14" s="65">
        <f t="shared" si="25"/>
        <v>0</v>
      </c>
      <c r="AU14" s="99" t="e">
        <f t="shared" si="26"/>
        <v>#DIV/0!</v>
      </c>
      <c r="AV14" s="65"/>
      <c r="AW14" s="99"/>
      <c r="AY14" s="52">
        <f t="shared" si="27"/>
        <v>0</v>
      </c>
      <c r="AZ14" s="58" t="e">
        <f t="shared" si="28"/>
        <v>#DIV/0!</v>
      </c>
      <c r="BC14" s="616">
        <f t="shared" si="29"/>
        <v>0</v>
      </c>
      <c r="BD14" s="31"/>
      <c r="BF14" s="52">
        <f t="shared" si="38"/>
        <v>0</v>
      </c>
      <c r="BG14" s="58" t="e">
        <f t="shared" si="39"/>
        <v>#DIV/0!</v>
      </c>
      <c r="BH14" s="65"/>
      <c r="BI14" s="65"/>
      <c r="BJ14" s="65"/>
      <c r="BK14" s="65"/>
      <c r="BL14" s="39">
        <f t="shared" si="31"/>
        <v>0</v>
      </c>
      <c r="BM14" s="39">
        <f t="shared" si="32"/>
        <v>0</v>
      </c>
      <c r="BN14" s="39"/>
      <c r="BO14" s="681">
        <v>0</v>
      </c>
      <c r="BP14" s="39">
        <f t="shared" si="33"/>
        <v>0</v>
      </c>
      <c r="BQ14" s="51" t="e">
        <f t="shared" si="8"/>
        <v>#DIV/0!</v>
      </c>
      <c r="BR14" s="99" t="e">
        <f t="shared" si="34"/>
        <v>#DIV/0!</v>
      </c>
      <c r="BV14" s="39"/>
      <c r="BW14" s="280">
        <f>BN14+BS15+BT14+BU14+BV14</f>
        <v>3.343</v>
      </c>
      <c r="BX14" s="39">
        <f t="shared" si="35"/>
        <v>3.343</v>
      </c>
      <c r="BY14" s="51" t="e">
        <f t="shared" si="10"/>
        <v>#DIV/0!</v>
      </c>
    </row>
    <row r="15" spans="1:77" s="79" customFormat="1" ht="18" customHeight="1">
      <c r="A15" s="53" t="s">
        <v>206</v>
      </c>
      <c r="B15" s="323">
        <f>2682</f>
        <v>2682</v>
      </c>
      <c r="C15" s="323">
        <v>4793</v>
      </c>
      <c r="D15" s="323">
        <f t="shared" si="11"/>
        <v>2111</v>
      </c>
      <c r="E15" s="352">
        <f t="shared" si="12"/>
        <v>0.78709917971662935</v>
      </c>
      <c r="F15" s="582">
        <v>5855</v>
      </c>
      <c r="G15" s="582">
        <f t="shared" si="13"/>
        <v>1062</v>
      </c>
      <c r="H15" s="274">
        <f t="shared" si="14"/>
        <v>0.18138343296327925</v>
      </c>
      <c r="I15" s="582">
        <f>7884-1250</f>
        <v>6634</v>
      </c>
      <c r="J15" s="582">
        <f t="shared" si="15"/>
        <v>779</v>
      </c>
      <c r="K15" s="274">
        <f t="shared" si="16"/>
        <v>0.13304867634500428</v>
      </c>
      <c r="L15" s="62">
        <v>6627</v>
      </c>
      <c r="M15" s="62">
        <v>-1257</v>
      </c>
      <c r="N15" s="241">
        <v>-0.15943683409436835</v>
      </c>
      <c r="O15" s="62">
        <v>11052</v>
      </c>
      <c r="P15" s="62">
        <f t="shared" si="17"/>
        <v>4425</v>
      </c>
      <c r="Q15" s="241">
        <f t="shared" si="0"/>
        <v>0.66772295156179262</v>
      </c>
      <c r="R15" s="62">
        <v>21225</v>
      </c>
      <c r="S15" s="62">
        <f t="shared" si="1"/>
        <v>10173</v>
      </c>
      <c r="T15" s="241">
        <f t="shared" si="2"/>
        <v>0.92046688382193265</v>
      </c>
      <c r="U15" s="62">
        <v>17635</v>
      </c>
      <c r="V15" s="62">
        <f t="shared" si="36"/>
        <v>-3590</v>
      </c>
      <c r="W15" s="241">
        <f t="shared" si="19"/>
        <v>-0.16914016489988221</v>
      </c>
      <c r="X15" s="166">
        <v>6507</v>
      </c>
      <c r="Y15" s="62">
        <f t="shared" si="3"/>
        <v>-11128</v>
      </c>
      <c r="Z15" s="95">
        <f t="shared" si="37"/>
        <v>-0.63101786220584066</v>
      </c>
      <c r="AA15" s="202">
        <v>5964</v>
      </c>
      <c r="AB15" s="583">
        <f t="shared" si="4"/>
        <v>-543</v>
      </c>
      <c r="AC15" s="584">
        <f>AB15/X15</f>
        <v>-8.34485938220378E-2</v>
      </c>
      <c r="AD15" s="78">
        <v>5442</v>
      </c>
      <c r="AE15" s="78"/>
      <c r="AF15" s="62">
        <v>5017</v>
      </c>
      <c r="AG15" s="62">
        <f t="shared" si="20"/>
        <v>-947</v>
      </c>
      <c r="AH15" s="241">
        <f t="shared" si="21"/>
        <v>-0.15878604963112006</v>
      </c>
      <c r="AI15" s="78">
        <v>5442</v>
      </c>
      <c r="AJ15" s="585">
        <v>5442</v>
      </c>
      <c r="AK15" s="136">
        <v>5438</v>
      </c>
      <c r="AM15" s="202">
        <f t="shared" si="22"/>
        <v>5438</v>
      </c>
      <c r="AN15" s="585">
        <v>5105</v>
      </c>
      <c r="AO15" s="585">
        <v>5105</v>
      </c>
      <c r="AP15" s="591">
        <v>1</v>
      </c>
      <c r="AQ15" s="591">
        <v>193</v>
      </c>
      <c r="AR15" s="78">
        <f t="shared" si="23"/>
        <v>194</v>
      </c>
      <c r="AS15" s="52">
        <f t="shared" si="24"/>
        <v>4205.7538000000004</v>
      </c>
      <c r="AT15" s="78">
        <f t="shared" si="25"/>
        <v>-811.24619999999959</v>
      </c>
      <c r="AU15" s="260">
        <f t="shared" si="26"/>
        <v>-0.16169946182977868</v>
      </c>
      <c r="AV15" s="78">
        <f>+AS15-AF15</f>
        <v>-811.24619999999959</v>
      </c>
      <c r="AW15" s="260">
        <f>+AV15/AF15</f>
        <v>-0.16169946182977868</v>
      </c>
      <c r="AX15" s="62">
        <v>3436</v>
      </c>
      <c r="AY15" s="62">
        <f t="shared" si="27"/>
        <v>-1581</v>
      </c>
      <c r="AZ15" s="241">
        <f t="shared" si="28"/>
        <v>-0.31512856288618696</v>
      </c>
      <c r="BA15" s="616">
        <v>4125.6647400000002</v>
      </c>
      <c r="BB15" s="616">
        <v>4011.7538</v>
      </c>
      <c r="BC15" s="616">
        <f>BA15-BB15</f>
        <v>113.91094000000021</v>
      </c>
      <c r="BD15" s="31">
        <f t="shared" si="30"/>
        <v>2.7610323954728372E-2</v>
      </c>
      <c r="BE15" s="62">
        <v>3283</v>
      </c>
      <c r="BF15" s="62">
        <f t="shared" si="38"/>
        <v>-153</v>
      </c>
      <c r="BG15" s="241">
        <f t="shared" si="39"/>
        <v>-4.452852153667055E-2</v>
      </c>
      <c r="BH15" s="78">
        <v>1</v>
      </c>
      <c r="BI15" s="78"/>
      <c r="BJ15" s="78"/>
      <c r="BK15" s="78">
        <v>80</v>
      </c>
      <c r="BL15" s="487">
        <f t="shared" si="31"/>
        <v>3364</v>
      </c>
      <c r="BM15" s="487">
        <f t="shared" si="32"/>
        <v>-841.75380000000041</v>
      </c>
      <c r="BN15" s="487">
        <v>3351</v>
      </c>
      <c r="BO15" s="681">
        <v>3401</v>
      </c>
      <c r="BP15" s="39">
        <f t="shared" si="33"/>
        <v>118</v>
      </c>
      <c r="BQ15" s="579">
        <f t="shared" si="8"/>
        <v>-0.20014338452241315</v>
      </c>
      <c r="BR15" s="99">
        <f t="shared" si="34"/>
        <v>3.5942735303076456E-2</v>
      </c>
      <c r="BS15" s="39">
        <v>3.343</v>
      </c>
      <c r="BV15" s="487">
        <v>53.973999999999997</v>
      </c>
      <c r="BW15" s="280">
        <f t="shared" ref="BW15:BW49" si="40">BN15+BS15+BT15+BU15+BV15</f>
        <v>3408.317</v>
      </c>
      <c r="BX15" s="39">
        <f t="shared" si="35"/>
        <v>44.317000000000007</v>
      </c>
      <c r="BY15" s="51">
        <f t="shared" si="10"/>
        <v>1.3173900118906066E-2</v>
      </c>
    </row>
    <row r="16" spans="1:77" s="79" customFormat="1" ht="18" customHeight="1">
      <c r="A16" s="53" t="s">
        <v>207</v>
      </c>
      <c r="B16" s="587" t="s">
        <v>78</v>
      </c>
      <c r="C16" s="587" t="s">
        <v>78</v>
      </c>
      <c r="D16" s="587" t="s">
        <v>78</v>
      </c>
      <c r="E16" s="587" t="s">
        <v>78</v>
      </c>
      <c r="F16" s="587" t="s">
        <v>78</v>
      </c>
      <c r="G16" s="587" t="s">
        <v>78</v>
      </c>
      <c r="H16" s="587" t="s">
        <v>78</v>
      </c>
      <c r="I16" s="593">
        <v>1250</v>
      </c>
      <c r="J16" s="593" t="s">
        <v>78</v>
      </c>
      <c r="K16" s="593" t="s">
        <v>78</v>
      </c>
      <c r="L16" s="62">
        <v>1801</v>
      </c>
      <c r="M16" s="62">
        <f>L16-I16</f>
        <v>551</v>
      </c>
      <c r="N16" s="588">
        <f>M16/I16</f>
        <v>0.44080000000000003</v>
      </c>
      <c r="O16" s="62">
        <v>1258</v>
      </c>
      <c r="P16" s="62">
        <f t="shared" si="17"/>
        <v>-543</v>
      </c>
      <c r="Q16" s="241">
        <f t="shared" si="0"/>
        <v>-0.30149916712937258</v>
      </c>
      <c r="R16" s="62">
        <v>1634</v>
      </c>
      <c r="S16" s="62">
        <f t="shared" si="1"/>
        <v>376</v>
      </c>
      <c r="T16" s="241">
        <f t="shared" si="2"/>
        <v>0.2988871224165342</v>
      </c>
      <c r="U16" s="62">
        <v>1550</v>
      </c>
      <c r="V16" s="62">
        <f t="shared" si="36"/>
        <v>-84</v>
      </c>
      <c r="W16" s="241">
        <f t="shared" si="19"/>
        <v>-5.1407588739290085E-2</v>
      </c>
      <c r="X16" s="166">
        <v>1800</v>
      </c>
      <c r="Y16" s="62">
        <f t="shared" si="3"/>
        <v>250</v>
      </c>
      <c r="Z16" s="95">
        <f t="shared" si="37"/>
        <v>0.16129032258064516</v>
      </c>
      <c r="AA16" s="202">
        <v>1480</v>
      </c>
      <c r="AB16" s="583">
        <f t="shared" si="4"/>
        <v>-320</v>
      </c>
      <c r="AC16" s="584">
        <f>AB16/X16</f>
        <v>-0.17777777777777778</v>
      </c>
      <c r="AD16" s="78">
        <v>1039</v>
      </c>
      <c r="AE16" s="78"/>
      <c r="AF16" s="62">
        <v>1016</v>
      </c>
      <c r="AG16" s="62">
        <f t="shared" si="20"/>
        <v>-464</v>
      </c>
      <c r="AH16" s="241">
        <f t="shared" si="21"/>
        <v>-0.31351351351351353</v>
      </c>
      <c r="AI16" s="78">
        <v>1039</v>
      </c>
      <c r="AJ16" s="585">
        <v>1039</v>
      </c>
      <c r="AK16" s="136">
        <v>1062</v>
      </c>
      <c r="AM16" s="202">
        <f t="shared" si="22"/>
        <v>1062</v>
      </c>
      <c r="AN16" s="585">
        <v>922</v>
      </c>
      <c r="AO16" s="585">
        <v>922</v>
      </c>
      <c r="AP16" s="591">
        <v>131</v>
      </c>
      <c r="AQ16" s="591">
        <v>20</v>
      </c>
      <c r="AR16" s="78">
        <f t="shared" si="23"/>
        <v>151</v>
      </c>
      <c r="AS16" s="52">
        <f t="shared" si="24"/>
        <v>872.94608000000005</v>
      </c>
      <c r="AT16" s="78">
        <f t="shared" si="25"/>
        <v>-143.05391999999995</v>
      </c>
      <c r="AU16" s="260">
        <f t="shared" si="26"/>
        <v>-0.14080110236220467</v>
      </c>
      <c r="AV16" s="78">
        <f>+AS16-AF16</f>
        <v>-143.05391999999995</v>
      </c>
      <c r="AW16" s="260">
        <f>+AV16/AF16</f>
        <v>-0.14080110236220467</v>
      </c>
      <c r="AX16" s="62">
        <v>771</v>
      </c>
      <c r="AY16" s="62">
        <f t="shared" si="27"/>
        <v>-245</v>
      </c>
      <c r="AZ16" s="241">
        <f t="shared" si="28"/>
        <v>-0.24114173228346455</v>
      </c>
      <c r="BA16" s="616">
        <v>806.53278</v>
      </c>
      <c r="BB16" s="616">
        <v>721.94608000000005</v>
      </c>
      <c r="BC16" s="616">
        <f t="shared" si="29"/>
        <v>84.586699999999951</v>
      </c>
      <c r="BD16" s="31">
        <f t="shared" si="30"/>
        <v>0.10487695242839348</v>
      </c>
      <c r="BE16" s="62">
        <v>2728</v>
      </c>
      <c r="BF16" s="62">
        <f t="shared" si="38"/>
        <v>1957</v>
      </c>
      <c r="BG16" s="241">
        <f t="shared" si="39"/>
        <v>2.5382619974059661</v>
      </c>
      <c r="BH16" s="78">
        <v>102</v>
      </c>
      <c r="BI16" s="78"/>
      <c r="BJ16" s="78"/>
      <c r="BK16" s="78">
        <v>22</v>
      </c>
      <c r="BL16" s="487">
        <f t="shared" si="31"/>
        <v>2852</v>
      </c>
      <c r="BM16" s="487">
        <f t="shared" si="32"/>
        <v>1979.0539199999998</v>
      </c>
      <c r="BN16" s="487">
        <v>2962</v>
      </c>
      <c r="BO16" s="681">
        <v>2962</v>
      </c>
      <c r="BP16" s="39">
        <f t="shared" si="33"/>
        <v>234</v>
      </c>
      <c r="BQ16" s="579">
        <f t="shared" si="8"/>
        <v>2.2670975508590403</v>
      </c>
      <c r="BR16" s="99">
        <f t="shared" si="34"/>
        <v>8.5777126099706738E-2</v>
      </c>
      <c r="BS16" s="487">
        <v>126.34</v>
      </c>
      <c r="BV16" s="595">
        <v>23.507999999999999</v>
      </c>
      <c r="BW16" s="280">
        <f t="shared" si="40"/>
        <v>3111.848</v>
      </c>
      <c r="BX16" s="39">
        <f t="shared" si="35"/>
        <v>259.84799999999996</v>
      </c>
      <c r="BY16" s="51">
        <f t="shared" si="10"/>
        <v>9.111079943899017E-2</v>
      </c>
    </row>
    <row r="17" spans="1:77" ht="18" customHeight="1">
      <c r="A17" s="312" t="s">
        <v>369</v>
      </c>
      <c r="B17" s="322">
        <f>9174+1893</f>
        <v>11067</v>
      </c>
      <c r="C17" s="322">
        <f>8539+1573</f>
        <v>10112</v>
      </c>
      <c r="D17" s="322">
        <f t="shared" si="11"/>
        <v>-955</v>
      </c>
      <c r="E17" s="351">
        <f t="shared" si="12"/>
        <v>-8.6292581548748526E-2</v>
      </c>
      <c r="L17" s="52"/>
      <c r="M17" s="52"/>
      <c r="N17" s="60"/>
      <c r="O17" s="52"/>
      <c r="P17" s="52"/>
      <c r="Q17" s="58"/>
      <c r="R17" s="52"/>
      <c r="S17" s="52"/>
      <c r="T17" s="58"/>
      <c r="U17" s="52"/>
      <c r="V17" s="52"/>
      <c r="W17" s="58"/>
      <c r="Y17" s="52"/>
      <c r="AB17" s="172"/>
      <c r="AD17" s="65"/>
      <c r="AE17" s="65"/>
      <c r="AH17" s="58"/>
      <c r="AI17" s="65"/>
      <c r="AJ17" s="220"/>
      <c r="AK17" s="136"/>
      <c r="AM17" s="256"/>
      <c r="AN17" s="220"/>
      <c r="AO17" s="220"/>
      <c r="AP17" s="261"/>
      <c r="AQ17" s="261"/>
      <c r="AR17" s="65">
        <f t="shared" si="23"/>
        <v>0</v>
      </c>
      <c r="AS17" s="52">
        <f t="shared" si="24"/>
        <v>0</v>
      </c>
      <c r="AT17" s="65">
        <f t="shared" si="25"/>
        <v>0</v>
      </c>
      <c r="AU17" s="99" t="e">
        <f t="shared" si="26"/>
        <v>#DIV/0!</v>
      </c>
      <c r="AV17" s="65"/>
      <c r="AW17" s="99"/>
      <c r="AY17" s="52">
        <f t="shared" si="27"/>
        <v>0</v>
      </c>
      <c r="AZ17" s="58" t="e">
        <f t="shared" si="28"/>
        <v>#DIV/0!</v>
      </c>
      <c r="BC17" s="616">
        <f t="shared" si="29"/>
        <v>0</v>
      </c>
      <c r="BD17" s="31"/>
      <c r="BF17" s="52">
        <f t="shared" si="38"/>
        <v>0</v>
      </c>
      <c r="BG17" s="58" t="e">
        <f t="shared" si="39"/>
        <v>#DIV/0!</v>
      </c>
      <c r="BH17" s="65"/>
      <c r="BI17" s="65"/>
      <c r="BJ17" s="65"/>
      <c r="BK17" s="65"/>
      <c r="BL17" s="39">
        <f t="shared" si="31"/>
        <v>0</v>
      </c>
      <c r="BM17" s="39">
        <f t="shared" si="32"/>
        <v>0</v>
      </c>
      <c r="BN17" s="39"/>
      <c r="BO17" s="681">
        <v>0</v>
      </c>
      <c r="BP17" s="39">
        <f t="shared" si="33"/>
        <v>0</v>
      </c>
      <c r="BQ17" s="51" t="e">
        <f t="shared" si="8"/>
        <v>#DIV/0!</v>
      </c>
      <c r="BR17" s="99" t="e">
        <f t="shared" si="34"/>
        <v>#DIV/0!</v>
      </c>
      <c r="BV17" s="39"/>
      <c r="BW17" s="280">
        <f t="shared" si="40"/>
        <v>0</v>
      </c>
      <c r="BX17" s="39">
        <f t="shared" si="35"/>
        <v>0</v>
      </c>
      <c r="BY17" s="51" t="e">
        <f t="shared" si="10"/>
        <v>#DIV/0!</v>
      </c>
    </row>
    <row r="18" spans="1:77" s="79" customFormat="1" ht="18" customHeight="1">
      <c r="A18" s="53" t="s">
        <v>208</v>
      </c>
      <c r="B18" s="587" t="s">
        <v>78</v>
      </c>
      <c r="C18" s="587" t="s">
        <v>78</v>
      </c>
      <c r="D18" s="587" t="s">
        <v>78</v>
      </c>
      <c r="E18" s="587" t="s">
        <v>78</v>
      </c>
      <c r="F18" s="582">
        <f>13692+1290+3486</f>
        <v>18468</v>
      </c>
      <c r="G18" s="582">
        <f>F18-C17</f>
        <v>8356</v>
      </c>
      <c r="H18" s="274">
        <f>(F18-C17)/F18</f>
        <v>0.45245830625947586</v>
      </c>
      <c r="I18" s="582">
        <f>8230+218+2882</f>
        <v>11330</v>
      </c>
      <c r="J18" s="582">
        <f>I18-F18</f>
        <v>-7138</v>
      </c>
      <c r="K18" s="274">
        <f>(I18-F18)/F18</f>
        <v>-0.38650638943036603</v>
      </c>
      <c r="L18" s="62">
        <f>8534+931</f>
        <v>9465</v>
      </c>
      <c r="M18" s="62">
        <f>L18-I18</f>
        <v>-1865</v>
      </c>
      <c r="N18" s="241">
        <f>(L18-I18)/I18</f>
        <v>-0.16460723742277139</v>
      </c>
      <c r="O18" s="62">
        <f>9388+1904</f>
        <v>11292</v>
      </c>
      <c r="P18" s="62">
        <f t="shared" si="17"/>
        <v>1827</v>
      </c>
      <c r="Q18" s="241">
        <f t="shared" si="0"/>
        <v>0.19302694136291601</v>
      </c>
      <c r="R18" s="62">
        <f>9198+1566</f>
        <v>10764</v>
      </c>
      <c r="S18" s="62">
        <f t="shared" si="1"/>
        <v>-528</v>
      </c>
      <c r="T18" s="241">
        <f t="shared" si="2"/>
        <v>-4.6758767268862911E-2</v>
      </c>
      <c r="U18" s="62">
        <f>9428+1804</f>
        <v>11232</v>
      </c>
      <c r="V18" s="62">
        <f t="shared" si="36"/>
        <v>468</v>
      </c>
      <c r="W18" s="241">
        <f t="shared" si="19"/>
        <v>4.3478260869565216E-2</v>
      </c>
      <c r="X18" s="166">
        <v>8883</v>
      </c>
      <c r="Y18" s="62">
        <f t="shared" si="3"/>
        <v>-2349</v>
      </c>
      <c r="Z18" s="95">
        <f t="shared" si="37"/>
        <v>-0.20913461538461539</v>
      </c>
      <c r="AA18" s="202">
        <v>9675</v>
      </c>
      <c r="AB18" s="583">
        <f t="shared" si="4"/>
        <v>792</v>
      </c>
      <c r="AC18" s="584">
        <f>AB18/X18</f>
        <v>8.9159067882472132E-2</v>
      </c>
      <c r="AD18" s="78">
        <v>5408</v>
      </c>
      <c r="AE18" s="78">
        <v>277</v>
      </c>
      <c r="AF18" s="62">
        <v>5414</v>
      </c>
      <c r="AG18" s="62">
        <f t="shared" si="20"/>
        <v>-4261</v>
      </c>
      <c r="AH18" s="241">
        <f t="shared" si="21"/>
        <v>-0.44041343669250643</v>
      </c>
      <c r="AI18" s="78">
        <f>5408-703</f>
        <v>4705</v>
      </c>
      <c r="AJ18" s="585">
        <f>5685-703</f>
        <v>4982</v>
      </c>
      <c r="AK18" s="136">
        <v>5579</v>
      </c>
      <c r="AM18" s="202">
        <f t="shared" si="22"/>
        <v>5579</v>
      </c>
      <c r="AN18" s="585">
        <v>8981</v>
      </c>
      <c r="AO18" s="585">
        <v>9258</v>
      </c>
      <c r="AP18" s="591">
        <v>601</v>
      </c>
      <c r="AQ18" s="591">
        <v>77</v>
      </c>
      <c r="AR18" s="78">
        <f t="shared" si="23"/>
        <v>678</v>
      </c>
      <c r="AS18" s="52">
        <f t="shared" si="24"/>
        <v>8998.8401400000002</v>
      </c>
      <c r="AT18" s="78">
        <f t="shared" si="25"/>
        <v>3584.8401400000002</v>
      </c>
      <c r="AU18" s="260">
        <f t="shared" si="26"/>
        <v>0.66214261913557448</v>
      </c>
      <c r="AV18" s="78">
        <f>+AS18-AF18</f>
        <v>3584.8401400000002</v>
      </c>
      <c r="AW18" s="260">
        <f>+AV18/AF18</f>
        <v>0.66214261913557448</v>
      </c>
      <c r="AX18" s="62">
        <v>8138</v>
      </c>
      <c r="AY18" s="62">
        <f t="shared" si="27"/>
        <v>2724</v>
      </c>
      <c r="AZ18" s="241">
        <f t="shared" si="28"/>
        <v>0.50314000738825271</v>
      </c>
      <c r="BA18" s="616">
        <f>8301.61382+272.7335</f>
        <v>8574.3473200000008</v>
      </c>
      <c r="BB18" s="616">
        <f>8134.66705+186.17309</f>
        <v>8320.8401400000002</v>
      </c>
      <c r="BC18" s="616">
        <f t="shared" si="29"/>
        <v>253.50718000000052</v>
      </c>
      <c r="BD18" s="31">
        <f t="shared" si="30"/>
        <v>2.9565769910986122E-2</v>
      </c>
      <c r="BE18" s="202">
        <f>7270+277</f>
        <v>7547</v>
      </c>
      <c r="BF18" s="62">
        <f t="shared" si="38"/>
        <v>-591</v>
      </c>
      <c r="BG18" s="241">
        <f t="shared" si="39"/>
        <v>-7.2622265913000736E-2</v>
      </c>
      <c r="BH18" s="78">
        <v>469</v>
      </c>
      <c r="BI18" s="78"/>
      <c r="BJ18" s="78"/>
      <c r="BK18" s="78">
        <v>178</v>
      </c>
      <c r="BL18" s="487">
        <f t="shared" si="31"/>
        <v>8194</v>
      </c>
      <c r="BM18" s="487">
        <f t="shared" si="32"/>
        <v>-804.84014000000025</v>
      </c>
      <c r="BN18" s="487">
        <v>7814</v>
      </c>
      <c r="BO18" s="681">
        <v>7814</v>
      </c>
      <c r="BP18" s="39">
        <f t="shared" si="33"/>
        <v>267</v>
      </c>
      <c r="BQ18" s="579">
        <f t="shared" si="8"/>
        <v>-8.9438208422268989E-2</v>
      </c>
      <c r="BR18" s="99">
        <f t="shared" si="34"/>
        <v>3.537829601166026E-2</v>
      </c>
      <c r="BS18" s="487">
        <v>581.07100000000003</v>
      </c>
      <c r="BV18" s="595">
        <v>333.79399999999998</v>
      </c>
      <c r="BW18" s="280">
        <f t="shared" si="40"/>
        <v>8728.8649999999998</v>
      </c>
      <c r="BX18" s="39">
        <f t="shared" si="35"/>
        <v>534.86499999999978</v>
      </c>
      <c r="BY18" s="51">
        <f t="shared" si="10"/>
        <v>6.5275201366853774E-2</v>
      </c>
    </row>
    <row r="19" spans="1:77" ht="18" customHeight="1">
      <c r="A19" s="53" t="s">
        <v>199</v>
      </c>
      <c r="B19" s="322">
        <v>3681</v>
      </c>
      <c r="C19" s="322">
        <v>3673</v>
      </c>
      <c r="D19" s="322">
        <f t="shared" si="11"/>
        <v>-8</v>
      </c>
      <c r="E19" s="351">
        <f t="shared" si="12"/>
        <v>-2.1733224667209996E-3</v>
      </c>
      <c r="F19" s="513" t="s">
        <v>78</v>
      </c>
      <c r="G19" s="513" t="s">
        <v>78</v>
      </c>
      <c r="H19" s="513" t="s">
        <v>78</v>
      </c>
      <c r="I19" s="513" t="s">
        <v>78</v>
      </c>
      <c r="J19" s="513" t="s">
        <v>78</v>
      </c>
      <c r="K19" s="513" t="s">
        <v>78</v>
      </c>
      <c r="L19" s="514" t="s">
        <v>78</v>
      </c>
      <c r="M19" s="514" t="s">
        <v>78</v>
      </c>
      <c r="N19" s="514" t="s">
        <v>78</v>
      </c>
      <c r="O19" s="514" t="s">
        <v>78</v>
      </c>
      <c r="P19" s="514" t="s">
        <v>78</v>
      </c>
      <c r="Q19" s="514" t="s">
        <v>78</v>
      </c>
      <c r="R19" s="514" t="s">
        <v>78</v>
      </c>
      <c r="S19" s="514" t="s">
        <v>78</v>
      </c>
      <c r="T19" s="514" t="s">
        <v>78</v>
      </c>
      <c r="U19" s="514" t="s">
        <v>78</v>
      </c>
      <c r="V19" s="514" t="s">
        <v>78</v>
      </c>
      <c r="W19" s="514" t="s">
        <v>78</v>
      </c>
      <c r="X19" s="515" t="s">
        <v>78</v>
      </c>
      <c r="Y19" s="514" t="s">
        <v>78</v>
      </c>
      <c r="Z19" s="515" t="s">
        <v>78</v>
      </c>
      <c r="AA19" s="516" t="s">
        <v>78</v>
      </c>
      <c r="AB19" s="66" t="s">
        <v>78</v>
      </c>
      <c r="AC19" s="70" t="s">
        <v>78</v>
      </c>
      <c r="AG19" s="52" t="e">
        <f t="shared" si="20"/>
        <v>#VALUE!</v>
      </c>
      <c r="AH19" s="58" t="e">
        <f t="shared" si="21"/>
        <v>#VALUE!</v>
      </c>
      <c r="AJ19" s="50">
        <v>0</v>
      </c>
      <c r="AK19" s="136"/>
      <c r="AM19" s="256"/>
      <c r="AP19" s="65"/>
      <c r="AQ19" s="65"/>
      <c r="AR19" s="65">
        <f t="shared" si="23"/>
        <v>0</v>
      </c>
      <c r="AS19" s="52">
        <f t="shared" si="24"/>
        <v>0</v>
      </c>
      <c r="AT19" s="65">
        <f t="shared" si="25"/>
        <v>0</v>
      </c>
      <c r="AU19" s="99" t="e">
        <f t="shared" si="26"/>
        <v>#DIV/0!</v>
      </c>
      <c r="AV19" s="65"/>
      <c r="AW19" s="99"/>
      <c r="AY19" s="52">
        <f t="shared" si="27"/>
        <v>0</v>
      </c>
      <c r="AZ19" s="58" t="e">
        <f t="shared" si="28"/>
        <v>#DIV/0!</v>
      </c>
      <c r="BC19" s="616">
        <f t="shared" si="29"/>
        <v>0</v>
      </c>
      <c r="BD19" s="31"/>
      <c r="BF19" s="52">
        <f t="shared" si="38"/>
        <v>0</v>
      </c>
      <c r="BG19" s="58" t="e">
        <f t="shared" si="39"/>
        <v>#DIV/0!</v>
      </c>
      <c r="BI19" s="65"/>
      <c r="BJ19" s="65"/>
      <c r="BK19" s="65"/>
      <c r="BL19" s="39">
        <f>BE19+BH19+BI19+BJ19+BK19</f>
        <v>0</v>
      </c>
      <c r="BM19" s="39">
        <f t="shared" si="32"/>
        <v>0</v>
      </c>
      <c r="BN19" s="39"/>
      <c r="BO19" s="681">
        <v>0</v>
      </c>
      <c r="BP19" s="39">
        <f t="shared" si="33"/>
        <v>0</v>
      </c>
      <c r="BQ19" s="51" t="e">
        <f t="shared" si="8"/>
        <v>#DIV/0!</v>
      </c>
      <c r="BR19" s="99" t="e">
        <f t="shared" si="34"/>
        <v>#DIV/0!</v>
      </c>
      <c r="BV19" s="39"/>
      <c r="BW19" s="280">
        <f t="shared" si="40"/>
        <v>0</v>
      </c>
      <c r="BX19" s="39">
        <f t="shared" si="35"/>
        <v>0</v>
      </c>
      <c r="BY19" s="51" t="e">
        <f t="shared" si="10"/>
        <v>#DIV/0!</v>
      </c>
    </row>
    <row r="20" spans="1:77" s="79" customFormat="1" ht="18" customHeight="1">
      <c r="A20" s="103" t="s">
        <v>209</v>
      </c>
      <c r="B20" s="587" t="s">
        <v>78</v>
      </c>
      <c r="C20" s="587" t="s">
        <v>78</v>
      </c>
      <c r="D20" s="587" t="s">
        <v>78</v>
      </c>
      <c r="E20" s="587" t="s">
        <v>78</v>
      </c>
      <c r="F20" s="587" t="s">
        <v>78</v>
      </c>
      <c r="G20" s="587" t="s">
        <v>78</v>
      </c>
      <c r="H20" s="587" t="s">
        <v>78</v>
      </c>
      <c r="I20" s="593" t="s">
        <v>78</v>
      </c>
      <c r="J20" s="593" t="s">
        <v>78</v>
      </c>
      <c r="K20" s="593" t="s">
        <v>78</v>
      </c>
      <c r="L20" s="62"/>
      <c r="M20" s="62"/>
      <c r="N20" s="241"/>
      <c r="O20" s="62"/>
      <c r="P20" s="62"/>
      <c r="Q20" s="241"/>
      <c r="R20" s="62"/>
      <c r="S20" s="62"/>
      <c r="T20" s="241"/>
      <c r="U20" s="62"/>
      <c r="V20" s="62"/>
      <c r="W20" s="241"/>
      <c r="X20" s="166">
        <v>566</v>
      </c>
      <c r="Y20" s="62">
        <f t="shared" si="3"/>
        <v>566</v>
      </c>
      <c r="Z20" s="95"/>
      <c r="AA20" s="202">
        <v>1470</v>
      </c>
      <c r="AB20" s="583">
        <f t="shared" si="4"/>
        <v>904</v>
      </c>
      <c r="AC20" s="584">
        <f>AB20/X20</f>
        <v>1.5971731448763251</v>
      </c>
      <c r="AD20" s="78">
        <v>1135</v>
      </c>
      <c r="AE20" s="78"/>
      <c r="AF20" s="62">
        <v>961</v>
      </c>
      <c r="AG20" s="62">
        <f t="shared" si="20"/>
        <v>-509</v>
      </c>
      <c r="AH20" s="241">
        <f t="shared" si="21"/>
        <v>-0.34625850340136055</v>
      </c>
      <c r="AI20" s="78">
        <f>1135-102</f>
        <v>1033</v>
      </c>
      <c r="AJ20" s="585">
        <f>1135-102</f>
        <v>1033</v>
      </c>
      <c r="AK20" s="136">
        <v>1144</v>
      </c>
      <c r="AM20" s="202">
        <f t="shared" si="22"/>
        <v>1144</v>
      </c>
      <c r="AN20" s="585">
        <v>972</v>
      </c>
      <c r="AO20" s="585">
        <v>972</v>
      </c>
      <c r="AP20" s="591">
        <v>20</v>
      </c>
      <c r="AQ20" s="591">
        <v>6</v>
      </c>
      <c r="AR20" s="78">
        <f t="shared" si="23"/>
        <v>26</v>
      </c>
      <c r="AS20" s="52">
        <f t="shared" si="24"/>
        <v>845.15286000000003</v>
      </c>
      <c r="AT20" s="78">
        <f t="shared" si="25"/>
        <v>-115.84713999999997</v>
      </c>
      <c r="AU20" s="260">
        <f t="shared" si="26"/>
        <v>-0.12054853277835585</v>
      </c>
      <c r="AV20" s="78">
        <f t="shared" ref="AV20:AV35" si="41">+AS20-AF20</f>
        <v>-115.84713999999997</v>
      </c>
      <c r="AW20" s="260">
        <f t="shared" ref="AW20:AW35" si="42">+AV20/AF20</f>
        <v>-0.12054853277835585</v>
      </c>
      <c r="AX20" s="62">
        <v>906</v>
      </c>
      <c r="AY20" s="62">
        <f t="shared" si="27"/>
        <v>-55</v>
      </c>
      <c r="AZ20" s="241">
        <f t="shared" si="28"/>
        <v>-5.7232049947970862E-2</v>
      </c>
      <c r="BA20" s="616">
        <v>906.32703000000004</v>
      </c>
      <c r="BB20" s="616">
        <v>819.15286000000003</v>
      </c>
      <c r="BC20" s="616">
        <f t="shared" si="29"/>
        <v>87.174170000000004</v>
      </c>
      <c r="BD20" s="31">
        <f t="shared" si="30"/>
        <v>9.618401207784788E-2</v>
      </c>
      <c r="BE20" s="62">
        <v>952</v>
      </c>
      <c r="BF20" s="62">
        <f t="shared" si="38"/>
        <v>46</v>
      </c>
      <c r="BG20" s="241">
        <f t="shared" si="39"/>
        <v>5.0772626931567331E-2</v>
      </c>
      <c r="BH20" s="78">
        <v>16</v>
      </c>
      <c r="BI20" s="78"/>
      <c r="BJ20" s="78"/>
      <c r="BK20" s="78">
        <v>6</v>
      </c>
      <c r="BL20" s="487">
        <f>BE20+BH20+BI20+BJ20+BK20</f>
        <v>974</v>
      </c>
      <c r="BM20" s="487">
        <f t="shared" si="32"/>
        <v>128.84713999999997</v>
      </c>
      <c r="BN20" s="487">
        <v>970</v>
      </c>
      <c r="BO20" s="681">
        <v>970</v>
      </c>
      <c r="BP20" s="39">
        <f t="shared" si="33"/>
        <v>18</v>
      </c>
      <c r="BQ20" s="579">
        <f t="shared" si="8"/>
        <v>0.15245424360274892</v>
      </c>
      <c r="BR20" s="99">
        <f t="shared" si="34"/>
        <v>1.8907563025210083E-2</v>
      </c>
      <c r="BS20" s="487">
        <v>19.227</v>
      </c>
      <c r="BV20" s="595">
        <v>5.38</v>
      </c>
      <c r="BW20" s="280">
        <f t="shared" si="40"/>
        <v>994.60699999999997</v>
      </c>
      <c r="BX20" s="39">
        <f t="shared" si="35"/>
        <v>20.606999999999971</v>
      </c>
      <c r="BY20" s="51">
        <f t="shared" si="10"/>
        <v>2.1157084188911674E-2</v>
      </c>
    </row>
    <row r="21" spans="1:77" s="79" customFormat="1" ht="18" customHeight="1">
      <c r="A21" s="53" t="s">
        <v>210</v>
      </c>
      <c r="B21" s="323">
        <v>373</v>
      </c>
      <c r="C21" s="323">
        <f>7497+525</f>
        <v>8022</v>
      </c>
      <c r="D21" s="323">
        <f t="shared" si="11"/>
        <v>7649</v>
      </c>
      <c r="E21" s="352">
        <f t="shared" si="12"/>
        <v>20.506702412868634</v>
      </c>
      <c r="F21" s="582">
        <f>2000+174</f>
        <v>2174</v>
      </c>
      <c r="G21" s="582">
        <f t="shared" si="13"/>
        <v>-5848</v>
      </c>
      <c r="H21" s="274">
        <f t="shared" si="14"/>
        <v>-2.6899724011039559</v>
      </c>
      <c r="I21" s="582">
        <f>1845+514</f>
        <v>2359</v>
      </c>
      <c r="J21" s="582">
        <f t="shared" si="15"/>
        <v>185</v>
      </c>
      <c r="K21" s="274">
        <f t="shared" si="16"/>
        <v>8.5096596136154556E-2</v>
      </c>
      <c r="L21" s="62">
        <v>4233</v>
      </c>
      <c r="M21" s="62">
        <v>1875</v>
      </c>
      <c r="N21" s="241">
        <v>0.7951653944020356</v>
      </c>
      <c r="O21" s="62">
        <v>9431</v>
      </c>
      <c r="P21" s="62">
        <f t="shared" si="17"/>
        <v>5198</v>
      </c>
      <c r="Q21" s="241">
        <f t="shared" si="0"/>
        <v>1.2279707063548311</v>
      </c>
      <c r="R21" s="62">
        <v>9688</v>
      </c>
      <c r="S21" s="62">
        <f t="shared" si="1"/>
        <v>257</v>
      </c>
      <c r="T21" s="241">
        <f t="shared" si="2"/>
        <v>2.7250556674795885E-2</v>
      </c>
      <c r="U21" s="62">
        <v>8120</v>
      </c>
      <c r="V21" s="62">
        <f t="shared" si="36"/>
        <v>-1568</v>
      </c>
      <c r="W21" s="241">
        <f t="shared" si="19"/>
        <v>-0.16184971098265896</v>
      </c>
      <c r="X21" s="166">
        <v>4971</v>
      </c>
      <c r="Y21" s="62">
        <f t="shared" si="3"/>
        <v>-3149</v>
      </c>
      <c r="Z21" s="95">
        <f>Y21/U21</f>
        <v>-0.38780788177339903</v>
      </c>
      <c r="AA21" s="202">
        <v>4471</v>
      </c>
      <c r="AB21" s="583">
        <f t="shared" si="4"/>
        <v>-500</v>
      </c>
      <c r="AC21" s="584">
        <f>AB21/X21</f>
        <v>-0.10058338362502514</v>
      </c>
      <c r="AD21" s="78">
        <v>4323</v>
      </c>
      <c r="AE21" s="78"/>
      <c r="AF21" s="62">
        <v>4297</v>
      </c>
      <c r="AG21" s="62">
        <f t="shared" si="20"/>
        <v>-174</v>
      </c>
      <c r="AH21" s="241">
        <f t="shared" si="21"/>
        <v>-3.8917468127935582E-2</v>
      </c>
      <c r="AI21" s="78">
        <v>4323</v>
      </c>
      <c r="AJ21" s="585">
        <v>4323</v>
      </c>
      <c r="AK21" s="136">
        <v>4419</v>
      </c>
      <c r="AM21" s="202">
        <f t="shared" si="22"/>
        <v>4419</v>
      </c>
      <c r="AN21" s="585">
        <v>21021</v>
      </c>
      <c r="AO21" s="585">
        <v>21291</v>
      </c>
      <c r="AP21" s="78">
        <v>163</v>
      </c>
      <c r="AQ21" s="591">
        <v>0</v>
      </c>
      <c r="AR21" s="78">
        <f t="shared" si="23"/>
        <v>163</v>
      </c>
      <c r="AS21" s="52">
        <f t="shared" si="24"/>
        <v>18037.010310000001</v>
      </c>
      <c r="AT21" s="78">
        <f t="shared" si="25"/>
        <v>13740.010310000001</v>
      </c>
      <c r="AU21" s="260">
        <f t="shared" si="26"/>
        <v>3.1975821061205494</v>
      </c>
      <c r="AV21" s="78">
        <f t="shared" si="41"/>
        <v>13740.010310000001</v>
      </c>
      <c r="AW21" s="260">
        <f t="shared" si="42"/>
        <v>3.1975821061205494</v>
      </c>
      <c r="AX21" s="62">
        <f>18628</f>
        <v>18628</v>
      </c>
      <c r="AY21" s="62">
        <f t="shared" si="27"/>
        <v>14331</v>
      </c>
      <c r="AZ21" s="241">
        <f t="shared" si="28"/>
        <v>3.3351175238538517</v>
      </c>
      <c r="BA21" s="616">
        <v>18357.07847</v>
      </c>
      <c r="BB21" s="616">
        <v>17874.010310000001</v>
      </c>
      <c r="BC21" s="616">
        <f t="shared" si="29"/>
        <v>483.0681599999989</v>
      </c>
      <c r="BD21" s="31">
        <f t="shared" si="30"/>
        <v>2.6315089342209413E-2</v>
      </c>
      <c r="BE21" s="62">
        <f>19068+226</f>
        <v>19294</v>
      </c>
      <c r="BF21" s="62">
        <f t="shared" si="38"/>
        <v>666</v>
      </c>
      <c r="BG21" s="241">
        <f t="shared" si="39"/>
        <v>3.5752630448786772E-2</v>
      </c>
      <c r="BH21" s="78">
        <v>127</v>
      </c>
      <c r="BI21" s="78"/>
      <c r="BJ21" s="78"/>
      <c r="BK21" s="78">
        <v>35</v>
      </c>
      <c r="BL21" s="487">
        <f t="shared" si="31"/>
        <v>19456</v>
      </c>
      <c r="BM21" s="487">
        <f t="shared" si="32"/>
        <v>1418.9896899999985</v>
      </c>
      <c r="BN21" s="487">
        <f>19667-1360</f>
        <v>18307</v>
      </c>
      <c r="BO21" s="681">
        <f>19667-1360</f>
        <v>18307</v>
      </c>
      <c r="BP21" s="39">
        <f t="shared" si="33"/>
        <v>-987</v>
      </c>
      <c r="BQ21" s="579">
        <f t="shared" si="8"/>
        <v>7.8671002877527235E-2</v>
      </c>
      <c r="BR21" s="99">
        <f t="shared" si="34"/>
        <v>-5.1155799730486159E-2</v>
      </c>
      <c r="BS21" s="487">
        <v>158.286</v>
      </c>
      <c r="BV21" s="487">
        <v>23.468</v>
      </c>
      <c r="BW21" s="280">
        <f t="shared" si="40"/>
        <v>18488.754000000001</v>
      </c>
      <c r="BX21" s="39">
        <f t="shared" si="35"/>
        <v>-967.24599999999919</v>
      </c>
      <c r="BY21" s="51">
        <f t="shared" si="10"/>
        <v>-4.971453536184206E-2</v>
      </c>
    </row>
    <row r="22" spans="1:77" ht="18" customHeight="1">
      <c r="A22" s="53" t="s">
        <v>211</v>
      </c>
      <c r="B22" s="324" t="s">
        <v>78</v>
      </c>
      <c r="C22" s="324" t="s">
        <v>78</v>
      </c>
      <c r="D22" s="324" t="s">
        <v>78</v>
      </c>
      <c r="E22" s="324" t="s">
        <v>78</v>
      </c>
      <c r="F22" s="324" t="s">
        <v>78</v>
      </c>
      <c r="G22" s="324" t="s">
        <v>78</v>
      </c>
      <c r="H22" s="324" t="s">
        <v>78</v>
      </c>
      <c r="I22" s="325" t="s">
        <v>78</v>
      </c>
      <c r="J22" s="325" t="s">
        <v>78</v>
      </c>
      <c r="K22" s="325" t="s">
        <v>78</v>
      </c>
      <c r="L22" s="52"/>
      <c r="M22" s="52"/>
      <c r="N22" s="58"/>
      <c r="O22" s="52"/>
      <c r="P22" s="52"/>
      <c r="Q22" s="58"/>
      <c r="R22" s="52"/>
      <c r="S22" s="52"/>
      <c r="T22" s="58"/>
      <c r="U22" s="52"/>
      <c r="V22" s="52"/>
      <c r="W22" s="58"/>
      <c r="Y22" s="52"/>
      <c r="AA22" s="202">
        <v>897</v>
      </c>
      <c r="AB22" s="172">
        <f t="shared" si="4"/>
        <v>897</v>
      </c>
      <c r="AC22" s="70" t="s">
        <v>78</v>
      </c>
      <c r="AD22" s="219">
        <v>642</v>
      </c>
      <c r="AE22" s="219"/>
      <c r="AG22" s="52">
        <f t="shared" si="20"/>
        <v>-897</v>
      </c>
      <c r="AH22" s="58">
        <f t="shared" si="21"/>
        <v>-1</v>
      </c>
      <c r="AI22" s="219">
        <v>642</v>
      </c>
      <c r="AJ22" s="220">
        <v>642</v>
      </c>
      <c r="AK22" s="136">
        <v>702</v>
      </c>
      <c r="AM22" s="256">
        <f t="shared" si="22"/>
        <v>702</v>
      </c>
      <c r="AN22" s="220">
        <v>0</v>
      </c>
      <c r="AO22" s="220">
        <v>0</v>
      </c>
      <c r="AP22" s="65"/>
      <c r="AQ22" s="65"/>
      <c r="AR22" s="65">
        <f t="shared" si="23"/>
        <v>0</v>
      </c>
      <c r="AS22" s="52">
        <f t="shared" si="24"/>
        <v>0</v>
      </c>
      <c r="AT22" s="65">
        <f t="shared" si="25"/>
        <v>0</v>
      </c>
      <c r="AU22" s="99" t="e">
        <f t="shared" si="26"/>
        <v>#DIV/0!</v>
      </c>
      <c r="AV22" s="65">
        <f t="shared" si="41"/>
        <v>0</v>
      </c>
      <c r="AW22" s="99" t="e">
        <f t="shared" si="42"/>
        <v>#DIV/0!</v>
      </c>
      <c r="AY22" s="52">
        <f t="shared" si="27"/>
        <v>0</v>
      </c>
      <c r="AZ22" s="58" t="e">
        <f t="shared" si="28"/>
        <v>#DIV/0!</v>
      </c>
      <c r="BC22" s="616">
        <f t="shared" si="29"/>
        <v>0</v>
      </c>
      <c r="BD22" s="31"/>
      <c r="BF22" s="52">
        <f t="shared" si="38"/>
        <v>0</v>
      </c>
      <c r="BG22" s="58" t="e">
        <f t="shared" si="39"/>
        <v>#DIV/0!</v>
      </c>
      <c r="BH22" s="65">
        <v>0</v>
      </c>
      <c r="BI22" s="65"/>
      <c r="BJ22" s="65"/>
      <c r="BK22" s="65"/>
      <c r="BL22" s="39">
        <f t="shared" si="31"/>
        <v>0</v>
      </c>
      <c r="BM22" s="39">
        <f t="shared" si="32"/>
        <v>0</v>
      </c>
      <c r="BN22" s="39"/>
      <c r="BO22" s="681">
        <v>0</v>
      </c>
      <c r="BP22" s="39">
        <f t="shared" si="33"/>
        <v>0</v>
      </c>
      <c r="BQ22" s="51" t="e">
        <f t="shared" si="8"/>
        <v>#DIV/0!</v>
      </c>
      <c r="BR22" s="99" t="e">
        <f t="shared" si="34"/>
        <v>#DIV/0!</v>
      </c>
      <c r="BS22" s="39">
        <v>46.472000000000001</v>
      </c>
      <c r="BV22" s="595">
        <v>6.4279999999999999</v>
      </c>
      <c r="BW22" s="280">
        <f t="shared" si="40"/>
        <v>52.9</v>
      </c>
      <c r="BX22" s="39">
        <f t="shared" si="35"/>
        <v>52.9</v>
      </c>
      <c r="BY22" s="51" t="e">
        <f t="shared" si="10"/>
        <v>#DIV/0!</v>
      </c>
    </row>
    <row r="23" spans="1:77" s="79" customFormat="1" ht="18" customHeight="1">
      <c r="A23" s="103" t="s">
        <v>140</v>
      </c>
      <c r="B23" s="323">
        <f>13356+422</f>
        <v>13778</v>
      </c>
      <c r="C23" s="323">
        <v>12717</v>
      </c>
      <c r="D23" s="323">
        <f t="shared" si="11"/>
        <v>-1061</v>
      </c>
      <c r="E23" s="352">
        <f t="shared" si="12"/>
        <v>-7.7006822470605307E-2</v>
      </c>
      <c r="F23" s="582">
        <v>12999</v>
      </c>
      <c r="G23" s="582">
        <f t="shared" si="13"/>
        <v>282</v>
      </c>
      <c r="H23" s="274">
        <f t="shared" si="14"/>
        <v>2.1693976459727673E-2</v>
      </c>
      <c r="I23" s="582">
        <v>11753</v>
      </c>
      <c r="J23" s="582">
        <f t="shared" si="15"/>
        <v>-1246</v>
      </c>
      <c r="K23" s="274">
        <f t="shared" si="16"/>
        <v>-9.5853527194399574E-2</v>
      </c>
      <c r="L23" s="62">
        <v>11868</v>
      </c>
      <c r="M23" s="62">
        <v>115</v>
      </c>
      <c r="N23" s="241">
        <v>9.7847358121330719E-3</v>
      </c>
      <c r="O23" s="62">
        <v>11180</v>
      </c>
      <c r="P23" s="62">
        <f t="shared" si="17"/>
        <v>-688</v>
      </c>
      <c r="Q23" s="241">
        <f t="shared" si="0"/>
        <v>-5.7971014492753624E-2</v>
      </c>
      <c r="R23" s="62">
        <v>12602</v>
      </c>
      <c r="S23" s="62">
        <f t="shared" si="1"/>
        <v>1422</v>
      </c>
      <c r="T23" s="241">
        <f t="shared" si="2"/>
        <v>0.12719141323792488</v>
      </c>
      <c r="U23" s="62">
        <v>12184</v>
      </c>
      <c r="V23" s="62">
        <f t="shared" si="36"/>
        <v>-418</v>
      </c>
      <c r="W23" s="241">
        <f t="shared" si="19"/>
        <v>-3.316933820028567E-2</v>
      </c>
      <c r="X23" s="166">
        <v>6057</v>
      </c>
      <c r="Y23" s="62">
        <f t="shared" ref="Y23:Y34" si="43">X23-U23</f>
        <v>-6127</v>
      </c>
      <c r="Z23" s="95">
        <f t="shared" ref="Z23:Z34" si="44">Y23/U23</f>
        <v>-0.50287261982928433</v>
      </c>
      <c r="AA23" s="202">
        <v>6528</v>
      </c>
      <c r="AB23" s="583">
        <f t="shared" si="4"/>
        <v>471</v>
      </c>
      <c r="AC23" s="584">
        <f t="shared" ref="AC23:AC34" si="45">AB23/X23</f>
        <v>7.7761267954432889E-2</v>
      </c>
      <c r="AD23" s="78">
        <v>3021</v>
      </c>
      <c r="AE23" s="78">
        <v>876</v>
      </c>
      <c r="AF23" s="62">
        <v>3298</v>
      </c>
      <c r="AG23" s="62">
        <f t="shared" si="20"/>
        <v>-3230</v>
      </c>
      <c r="AH23" s="241">
        <f t="shared" si="21"/>
        <v>-0.49479166666666669</v>
      </c>
      <c r="AI23" s="78">
        <v>3021</v>
      </c>
      <c r="AJ23" s="585">
        <v>3897</v>
      </c>
      <c r="AK23" s="136">
        <v>3181</v>
      </c>
      <c r="AM23" s="202">
        <f t="shared" si="22"/>
        <v>3181</v>
      </c>
      <c r="AN23" s="585">
        <v>9901</v>
      </c>
      <c r="AO23" s="585">
        <v>11195</v>
      </c>
      <c r="AP23" s="591">
        <v>651</v>
      </c>
      <c r="AQ23" s="591">
        <v>0</v>
      </c>
      <c r="AR23" s="78">
        <f t="shared" si="23"/>
        <v>651</v>
      </c>
      <c r="AS23" s="52">
        <f t="shared" si="24"/>
        <v>10133.850279999999</v>
      </c>
      <c r="AT23" s="78">
        <f t="shared" si="25"/>
        <v>6835.8502799999987</v>
      </c>
      <c r="AU23" s="260">
        <f t="shared" si="26"/>
        <v>2.0727259793814428</v>
      </c>
      <c r="AV23" s="78">
        <f t="shared" si="41"/>
        <v>6835.8502799999987</v>
      </c>
      <c r="AW23" s="260">
        <f t="shared" si="42"/>
        <v>2.0727259793814428</v>
      </c>
      <c r="AX23" s="62">
        <v>10003</v>
      </c>
      <c r="AY23" s="62">
        <f t="shared" si="27"/>
        <v>6705</v>
      </c>
      <c r="AZ23" s="241">
        <f t="shared" si="28"/>
        <v>2.0330503335354759</v>
      </c>
      <c r="BA23" s="616">
        <f>8752.81651+1350.28907</f>
        <v>10103.105580000001</v>
      </c>
      <c r="BB23" s="616">
        <f>8293.8759+1188.97438</f>
        <v>9482.8502799999987</v>
      </c>
      <c r="BC23" s="616">
        <f t="shared" si="29"/>
        <v>620.25530000000253</v>
      </c>
      <c r="BD23" s="31">
        <f t="shared" si="30"/>
        <v>6.1392538669283354E-2</v>
      </c>
      <c r="BE23" s="62">
        <v>8698</v>
      </c>
      <c r="BF23" s="62">
        <f t="shared" si="38"/>
        <v>-1305</v>
      </c>
      <c r="BG23" s="241">
        <f t="shared" si="39"/>
        <v>-0.13046086174147756</v>
      </c>
      <c r="BH23" s="78">
        <v>537</v>
      </c>
      <c r="BI23" s="78"/>
      <c r="BJ23" s="78"/>
      <c r="BK23" s="78">
        <v>158</v>
      </c>
      <c r="BL23" s="487">
        <f t="shared" si="31"/>
        <v>9393</v>
      </c>
      <c r="BM23" s="487">
        <f t="shared" si="32"/>
        <v>-740.85027999999875</v>
      </c>
      <c r="BN23" s="487">
        <v>8971</v>
      </c>
      <c r="BO23" s="681">
        <v>8971</v>
      </c>
      <c r="BP23" s="39">
        <f t="shared" si="33"/>
        <v>273</v>
      </c>
      <c r="BQ23" s="579">
        <f t="shared" si="8"/>
        <v>-7.3106495510608521E-2</v>
      </c>
      <c r="BR23" s="99">
        <f t="shared" si="34"/>
        <v>3.1386525638077721E-2</v>
      </c>
      <c r="BS23" s="487">
        <v>673.83100000000002</v>
      </c>
      <c r="BV23" s="595">
        <v>111.73</v>
      </c>
      <c r="BW23" s="280">
        <f t="shared" si="40"/>
        <v>9756.5609999999997</v>
      </c>
      <c r="BX23" s="39">
        <f t="shared" si="35"/>
        <v>363.56099999999969</v>
      </c>
      <c r="BY23" s="51">
        <f t="shared" si="10"/>
        <v>3.8705525391248767E-2</v>
      </c>
    </row>
    <row r="24" spans="1:77" s="79" customFormat="1" ht="18" customHeight="1">
      <c r="A24" s="103" t="s">
        <v>212</v>
      </c>
      <c r="B24" s="323">
        <f>22289+156</f>
        <v>22445</v>
      </c>
      <c r="C24" s="323">
        <f>11264+9</f>
        <v>11273</v>
      </c>
      <c r="D24" s="323">
        <f t="shared" si="11"/>
        <v>-11172</v>
      </c>
      <c r="E24" s="352">
        <f t="shared" si="12"/>
        <v>-0.49775005569169078</v>
      </c>
      <c r="F24" s="582">
        <f>13896+2</f>
        <v>13898</v>
      </c>
      <c r="G24" s="582">
        <f t="shared" si="13"/>
        <v>2625</v>
      </c>
      <c r="H24" s="274">
        <f t="shared" si="14"/>
        <v>0.1888760972801842</v>
      </c>
      <c r="I24" s="582">
        <v>13435</v>
      </c>
      <c r="J24" s="582">
        <f t="shared" si="15"/>
        <v>-463</v>
      </c>
      <c r="K24" s="274">
        <f t="shared" si="16"/>
        <v>-3.3314145920276296E-2</v>
      </c>
      <c r="L24" s="62">
        <v>22987</v>
      </c>
      <c r="M24" s="62">
        <v>9552</v>
      </c>
      <c r="N24" s="241">
        <v>0.71097878675102344</v>
      </c>
      <c r="O24" s="62">
        <v>44470</v>
      </c>
      <c r="P24" s="62">
        <f t="shared" si="17"/>
        <v>21483</v>
      </c>
      <c r="Q24" s="241">
        <f t="shared" si="0"/>
        <v>0.93457171444729625</v>
      </c>
      <c r="R24" s="62">
        <v>46515</v>
      </c>
      <c r="S24" s="62">
        <f t="shared" si="1"/>
        <v>2045</v>
      </c>
      <c r="T24" s="241">
        <f t="shared" si="2"/>
        <v>4.5986058016640428E-2</v>
      </c>
      <c r="U24" s="62">
        <v>38140</v>
      </c>
      <c r="V24" s="62">
        <f t="shared" si="36"/>
        <v>-8375</v>
      </c>
      <c r="W24" s="241">
        <f t="shared" si="19"/>
        <v>-0.1800494464151349</v>
      </c>
      <c r="X24" s="166">
        <v>64060</v>
      </c>
      <c r="Y24" s="62">
        <f t="shared" si="43"/>
        <v>25920</v>
      </c>
      <c r="Z24" s="95">
        <f t="shared" si="44"/>
        <v>0.67960146827477719</v>
      </c>
      <c r="AA24" s="204">
        <v>56448</v>
      </c>
      <c r="AB24" s="583">
        <f t="shared" si="4"/>
        <v>-7612</v>
      </c>
      <c r="AC24" s="584">
        <f t="shared" si="45"/>
        <v>-0.11882610053075242</v>
      </c>
      <c r="AD24" s="78">
        <v>41027</v>
      </c>
      <c r="AE24" s="78">
        <v>2025</v>
      </c>
      <c r="AF24" s="62">
        <v>49553</v>
      </c>
      <c r="AG24" s="62">
        <f t="shared" si="20"/>
        <v>-6895</v>
      </c>
      <c r="AH24" s="241">
        <f t="shared" si="21"/>
        <v>-0.12214781746031746</v>
      </c>
      <c r="AI24" s="78">
        <v>41027</v>
      </c>
      <c r="AJ24" s="585">
        <v>43052</v>
      </c>
      <c r="AK24" s="136">
        <v>46111</v>
      </c>
      <c r="AL24" s="585"/>
      <c r="AM24" s="202">
        <f t="shared" si="22"/>
        <v>46111</v>
      </c>
      <c r="AN24" s="585">
        <v>34853</v>
      </c>
      <c r="AO24" s="585">
        <v>38168</v>
      </c>
      <c r="AP24" s="591">
        <v>8901</v>
      </c>
      <c r="AQ24" s="591">
        <v>1080</v>
      </c>
      <c r="AR24" s="78">
        <f t="shared" si="23"/>
        <v>9981</v>
      </c>
      <c r="AS24" s="52">
        <f t="shared" si="24"/>
        <v>48550.591870000004</v>
      </c>
      <c r="AT24" s="78">
        <f t="shared" si="25"/>
        <v>-1002.4081299999962</v>
      </c>
      <c r="AU24" s="260">
        <f t="shared" si="26"/>
        <v>-2.0229009948943479E-2</v>
      </c>
      <c r="AV24" s="78">
        <f t="shared" si="41"/>
        <v>-1002.4081299999962</v>
      </c>
      <c r="AW24" s="260">
        <f t="shared" si="42"/>
        <v>-2.0229009948943479E-2</v>
      </c>
      <c r="AX24" s="62">
        <f>33443</f>
        <v>33443</v>
      </c>
      <c r="AY24" s="62">
        <f t="shared" si="27"/>
        <v>-16110</v>
      </c>
      <c r="AZ24" s="241">
        <f t="shared" si="28"/>
        <v>-0.32510645167800134</v>
      </c>
      <c r="BA24" s="616">
        <f>30128.0875+9484.183</f>
        <v>39612.270499999999</v>
      </c>
      <c r="BB24" s="616">
        <f>29756.68794+8812.90393</f>
        <v>38569.591870000004</v>
      </c>
      <c r="BC24" s="616">
        <f t="shared" si="29"/>
        <v>1042.6786299999949</v>
      </c>
      <c r="BD24" s="31">
        <f t="shared" si="30"/>
        <v>2.6322112235399254E-2</v>
      </c>
      <c r="BE24" s="62">
        <f>34249+9040</f>
        <v>43289</v>
      </c>
      <c r="BF24" s="62">
        <f t="shared" si="38"/>
        <v>9846</v>
      </c>
      <c r="BG24" s="241">
        <f t="shared" si="39"/>
        <v>0.29441138653828902</v>
      </c>
      <c r="BH24" s="78">
        <v>12374</v>
      </c>
      <c r="BI24" s="78"/>
      <c r="BJ24" s="78"/>
      <c r="BK24" s="78"/>
      <c r="BL24" s="487">
        <f>BE24+BH24+BI24+BJ24+BK24</f>
        <v>55663</v>
      </c>
      <c r="BM24" s="487">
        <f t="shared" si="32"/>
        <v>7112.4081299999962</v>
      </c>
      <c r="BN24" s="487">
        <v>52142</v>
      </c>
      <c r="BO24" s="681">
        <v>50917</v>
      </c>
      <c r="BP24" s="39">
        <f t="shared" si="33"/>
        <v>7628</v>
      </c>
      <c r="BQ24" s="579">
        <f t="shared" si="8"/>
        <v>0.14649477701619615</v>
      </c>
      <c r="BR24" s="99">
        <f t="shared" si="34"/>
        <v>0.17621104668622514</v>
      </c>
      <c r="BS24" s="487">
        <v>10734.111999999999</v>
      </c>
      <c r="BV24" s="595">
        <v>209.56800000000001</v>
      </c>
      <c r="BW24" s="280">
        <f t="shared" si="40"/>
        <v>63085.68</v>
      </c>
      <c r="BX24" s="39">
        <f t="shared" si="35"/>
        <v>7422.68</v>
      </c>
      <c r="BY24" s="51">
        <f t="shared" si="10"/>
        <v>0.13335034044158597</v>
      </c>
    </row>
    <row r="25" spans="1:77" s="79" customFormat="1" ht="18" customHeight="1">
      <c r="A25" s="103" t="s">
        <v>413</v>
      </c>
      <c r="B25" s="323">
        <f>7163+2169</f>
        <v>9332</v>
      </c>
      <c r="C25" s="323">
        <f>12511+11032</f>
        <v>23543</v>
      </c>
      <c r="D25" s="323">
        <f t="shared" si="11"/>
        <v>14211</v>
      </c>
      <c r="E25" s="352">
        <f t="shared" si="12"/>
        <v>1.5228246892413202</v>
      </c>
      <c r="F25" s="582">
        <f>6747+7493</f>
        <v>14240</v>
      </c>
      <c r="G25" s="582">
        <f t="shared" si="13"/>
        <v>-9303</v>
      </c>
      <c r="H25" s="274">
        <f t="shared" si="14"/>
        <v>-0.65330056179775275</v>
      </c>
      <c r="I25" s="582">
        <f>6137+1244</f>
        <v>7381</v>
      </c>
      <c r="J25" s="582">
        <f t="shared" si="15"/>
        <v>-6859</v>
      </c>
      <c r="K25" s="274">
        <f t="shared" si="16"/>
        <v>-0.48167134831460673</v>
      </c>
      <c r="L25" s="62">
        <v>12840</v>
      </c>
      <c r="M25" s="62">
        <v>5459</v>
      </c>
      <c r="N25" s="241">
        <v>0.73960167998916138</v>
      </c>
      <c r="O25" s="62">
        <v>17768</v>
      </c>
      <c r="P25" s="62">
        <f t="shared" si="17"/>
        <v>4928</v>
      </c>
      <c r="Q25" s="241">
        <f t="shared" si="0"/>
        <v>0.38380062305295948</v>
      </c>
      <c r="R25" s="62">
        <v>15891</v>
      </c>
      <c r="S25" s="62">
        <f t="shared" si="1"/>
        <v>-1877</v>
      </c>
      <c r="T25" s="241">
        <f t="shared" si="2"/>
        <v>-0.10563935164340388</v>
      </c>
      <c r="U25" s="62">
        <v>26045</v>
      </c>
      <c r="V25" s="62">
        <f t="shared" si="36"/>
        <v>10154</v>
      </c>
      <c r="W25" s="241">
        <f t="shared" si="19"/>
        <v>0.6389780378830785</v>
      </c>
      <c r="X25" s="166">
        <v>21469</v>
      </c>
      <c r="Y25" s="62">
        <f t="shared" si="43"/>
        <v>-4576</v>
      </c>
      <c r="Z25" s="95">
        <f t="shared" si="44"/>
        <v>-0.17569591092340181</v>
      </c>
      <c r="AA25" s="202">
        <v>31122</v>
      </c>
      <c r="AB25" s="583">
        <f t="shared" si="4"/>
        <v>9653</v>
      </c>
      <c r="AC25" s="584">
        <f t="shared" si="45"/>
        <v>0.4496250407564395</v>
      </c>
      <c r="AD25" s="78">
        <v>21801</v>
      </c>
      <c r="AE25" s="78">
        <v>13407</v>
      </c>
      <c r="AF25" s="62">
        <v>29685</v>
      </c>
      <c r="AG25" s="62">
        <f t="shared" si="20"/>
        <v>-1437</v>
      </c>
      <c r="AH25" s="241">
        <f t="shared" si="21"/>
        <v>-4.6173125120493541E-2</v>
      </c>
      <c r="AI25" s="78">
        <f>21801-2197</f>
        <v>19604</v>
      </c>
      <c r="AJ25" s="585">
        <f>35208-2197</f>
        <v>33011</v>
      </c>
      <c r="AK25" s="136">
        <v>23697</v>
      </c>
      <c r="AM25" s="202">
        <f t="shared" si="22"/>
        <v>23697</v>
      </c>
      <c r="AN25" s="585">
        <v>12209</v>
      </c>
      <c r="AO25" s="585">
        <v>27295</v>
      </c>
      <c r="AP25" s="591">
        <v>7414</v>
      </c>
      <c r="AQ25" s="591">
        <v>601</v>
      </c>
      <c r="AR25" s="78">
        <f t="shared" si="23"/>
        <v>8015</v>
      </c>
      <c r="AS25" s="52">
        <f t="shared" si="24"/>
        <v>8015</v>
      </c>
      <c r="AT25" s="78">
        <f t="shared" si="25"/>
        <v>-21670</v>
      </c>
      <c r="AU25" s="260">
        <f t="shared" si="26"/>
        <v>-0.72999831564763351</v>
      </c>
      <c r="AV25" s="78">
        <f t="shared" si="41"/>
        <v>-21670</v>
      </c>
      <c r="AW25" s="260">
        <f t="shared" si="42"/>
        <v>-0.72999831564763351</v>
      </c>
      <c r="AX25" s="62">
        <f>23873</f>
        <v>23873</v>
      </c>
      <c r="AY25" s="62">
        <f t="shared" si="27"/>
        <v>-5812</v>
      </c>
      <c r="AZ25" s="241">
        <f t="shared" si="28"/>
        <v>-0.19578911908371233</v>
      </c>
      <c r="BA25" s="241"/>
      <c r="BB25" s="241"/>
      <c r="BC25" s="616">
        <f t="shared" si="29"/>
        <v>0</v>
      </c>
      <c r="BD25" s="31"/>
      <c r="BE25" s="643">
        <f>(205426+6506)-45839-9821</f>
        <v>156272</v>
      </c>
      <c r="BF25" s="62">
        <f t="shared" si="38"/>
        <v>132399</v>
      </c>
      <c r="BG25" s="241">
        <f t="shared" si="39"/>
        <v>5.5459724374816739</v>
      </c>
      <c r="BH25" s="78"/>
      <c r="BI25" s="78"/>
      <c r="BJ25" s="78"/>
      <c r="BK25" s="78">
        <v>376</v>
      </c>
      <c r="BL25" s="487">
        <f t="shared" si="31"/>
        <v>156648</v>
      </c>
      <c r="BM25" s="487">
        <f t="shared" si="32"/>
        <v>148633</v>
      </c>
      <c r="BN25" s="487">
        <f>251379-47782-9794</f>
        <v>193803</v>
      </c>
      <c r="BO25" s="681">
        <f>250917-47782-9794</f>
        <v>193341</v>
      </c>
      <c r="BP25" s="39">
        <f t="shared" si="33"/>
        <v>37069</v>
      </c>
      <c r="BQ25" s="579">
        <f t="shared" si="8"/>
        <v>18.54435433562071</v>
      </c>
      <c r="BR25" s="99">
        <f t="shared" si="34"/>
        <v>0.2372082010852872</v>
      </c>
      <c r="BS25" s="487">
        <v>9462.5709999999999</v>
      </c>
      <c r="BV25" s="487"/>
      <c r="BW25" s="280">
        <f t="shared" si="40"/>
        <v>203265.571</v>
      </c>
      <c r="BX25" s="39">
        <f t="shared" si="35"/>
        <v>46617.570999999996</v>
      </c>
      <c r="BY25" s="51">
        <f t="shared" si="10"/>
        <v>0.29759442188856544</v>
      </c>
    </row>
    <row r="26" spans="1:77" s="79" customFormat="1" ht="18" customHeight="1">
      <c r="A26" s="53" t="s">
        <v>2</v>
      </c>
      <c r="B26" s="323">
        <v>677</v>
      </c>
      <c r="C26" s="323">
        <v>738</v>
      </c>
      <c r="D26" s="323">
        <f t="shared" si="11"/>
        <v>61</v>
      </c>
      <c r="E26" s="352">
        <f t="shared" si="12"/>
        <v>9.0103397341211228E-2</v>
      </c>
      <c r="F26" s="582">
        <v>676</v>
      </c>
      <c r="G26" s="582">
        <f t="shared" si="13"/>
        <v>-62</v>
      </c>
      <c r="H26" s="274">
        <f t="shared" si="14"/>
        <v>-9.1715976331360943E-2</v>
      </c>
      <c r="I26" s="582">
        <v>568</v>
      </c>
      <c r="J26" s="582">
        <f t="shared" si="15"/>
        <v>-108</v>
      </c>
      <c r="K26" s="274">
        <f t="shared" si="16"/>
        <v>-0.15976331360946747</v>
      </c>
      <c r="L26" s="62">
        <v>716</v>
      </c>
      <c r="M26" s="62">
        <v>148</v>
      </c>
      <c r="N26" s="241">
        <v>0.26056338028169013</v>
      </c>
      <c r="O26" s="62">
        <v>765</v>
      </c>
      <c r="P26" s="62">
        <f t="shared" si="17"/>
        <v>49</v>
      </c>
      <c r="Q26" s="241">
        <f t="shared" si="0"/>
        <v>6.8435754189944131E-2</v>
      </c>
      <c r="R26" s="62">
        <v>746</v>
      </c>
      <c r="S26" s="62">
        <f t="shared" si="1"/>
        <v>-19</v>
      </c>
      <c r="T26" s="241">
        <f t="shared" si="2"/>
        <v>-2.4836601307189541E-2</v>
      </c>
      <c r="U26" s="62">
        <v>776</v>
      </c>
      <c r="V26" s="62">
        <f t="shared" si="36"/>
        <v>30</v>
      </c>
      <c r="W26" s="241">
        <f t="shared" si="19"/>
        <v>4.0214477211796246E-2</v>
      </c>
      <c r="X26" s="166">
        <v>940</v>
      </c>
      <c r="Y26" s="62">
        <f t="shared" si="43"/>
        <v>164</v>
      </c>
      <c r="Z26" s="95">
        <f t="shared" si="44"/>
        <v>0.21134020618556701</v>
      </c>
      <c r="AA26" s="202">
        <v>972</v>
      </c>
      <c r="AB26" s="583">
        <f t="shared" si="4"/>
        <v>32</v>
      </c>
      <c r="AC26" s="584">
        <f t="shared" si="45"/>
        <v>3.4042553191489362E-2</v>
      </c>
      <c r="AD26" s="78">
        <v>1100</v>
      </c>
      <c r="AE26" s="78"/>
      <c r="AF26" s="62">
        <v>1032</v>
      </c>
      <c r="AG26" s="62">
        <f t="shared" si="20"/>
        <v>60</v>
      </c>
      <c r="AH26" s="241">
        <f t="shared" si="21"/>
        <v>6.1728395061728392E-2</v>
      </c>
      <c r="AI26" s="78">
        <v>1100</v>
      </c>
      <c r="AJ26" s="585">
        <v>1100</v>
      </c>
      <c r="AK26" s="136">
        <v>1135</v>
      </c>
      <c r="AM26" s="202">
        <f t="shared" si="22"/>
        <v>1135</v>
      </c>
      <c r="AN26" s="585">
        <v>840</v>
      </c>
      <c r="AO26" s="585">
        <v>840</v>
      </c>
      <c r="AP26" s="591">
        <v>273</v>
      </c>
      <c r="AQ26" s="591">
        <v>1</v>
      </c>
      <c r="AR26" s="78">
        <f t="shared" si="23"/>
        <v>274</v>
      </c>
      <c r="AS26" s="52">
        <f t="shared" si="24"/>
        <v>1038.7491199999999</v>
      </c>
      <c r="AT26" s="78">
        <f t="shared" si="25"/>
        <v>6.749119999999948</v>
      </c>
      <c r="AU26" s="260">
        <f t="shared" si="26"/>
        <v>6.5398449612402597E-3</v>
      </c>
      <c r="AV26" s="78">
        <f t="shared" si="41"/>
        <v>6.749119999999948</v>
      </c>
      <c r="AW26" s="260">
        <f t="shared" si="42"/>
        <v>6.5398449612402597E-3</v>
      </c>
      <c r="AX26" s="62">
        <v>774</v>
      </c>
      <c r="AY26" s="62">
        <f t="shared" si="27"/>
        <v>-258</v>
      </c>
      <c r="AZ26" s="241">
        <f t="shared" si="28"/>
        <v>-0.25</v>
      </c>
      <c r="BA26" s="616">
        <v>774.18453</v>
      </c>
      <c r="BB26" s="616">
        <v>764.74911999999995</v>
      </c>
      <c r="BC26" s="616">
        <f t="shared" si="29"/>
        <v>9.4354100000000471</v>
      </c>
      <c r="BD26" s="31">
        <f t="shared" si="30"/>
        <v>1.2187546553016303E-2</v>
      </c>
      <c r="BE26" s="62">
        <v>796</v>
      </c>
      <c r="BF26" s="62">
        <f t="shared" si="38"/>
        <v>22</v>
      </c>
      <c r="BG26" s="241">
        <f t="shared" si="39"/>
        <v>2.8423772609819122E-2</v>
      </c>
      <c r="BH26" s="78">
        <v>55</v>
      </c>
      <c r="BI26" s="78"/>
      <c r="BJ26" s="78"/>
      <c r="BK26" s="78">
        <v>9</v>
      </c>
      <c r="BL26" s="487">
        <f t="shared" si="31"/>
        <v>860</v>
      </c>
      <c r="BM26" s="487">
        <f t="shared" si="32"/>
        <v>-178.74911999999995</v>
      </c>
      <c r="BN26" s="487">
        <v>847</v>
      </c>
      <c r="BO26" s="681">
        <v>1051</v>
      </c>
      <c r="BP26" s="39">
        <f t="shared" si="33"/>
        <v>255</v>
      </c>
      <c r="BQ26" s="579">
        <f t="shared" si="8"/>
        <v>-0.17208112773178566</v>
      </c>
      <c r="BR26" s="99">
        <f t="shared" si="34"/>
        <v>0.32035175879396988</v>
      </c>
      <c r="BS26" s="487">
        <v>68.522000000000006</v>
      </c>
      <c r="BV26" s="595">
        <v>13.986000000000001</v>
      </c>
      <c r="BW26" s="280">
        <f t="shared" si="40"/>
        <v>929.50800000000004</v>
      </c>
      <c r="BX26" s="39">
        <f t="shared" si="35"/>
        <v>69.508000000000038</v>
      </c>
      <c r="BY26" s="51">
        <f t="shared" si="10"/>
        <v>8.0823255813953526E-2</v>
      </c>
    </row>
    <row r="27" spans="1:77" s="79" customFormat="1" ht="18" customHeight="1">
      <c r="A27" s="53" t="s">
        <v>3</v>
      </c>
      <c r="B27" s="323">
        <f>3214+317</f>
        <v>3531</v>
      </c>
      <c r="C27" s="323">
        <v>3266</v>
      </c>
      <c r="D27" s="323">
        <f t="shared" si="11"/>
        <v>-265</v>
      </c>
      <c r="E27" s="352">
        <f t="shared" si="12"/>
        <v>-7.5049561030869447E-2</v>
      </c>
      <c r="F27" s="582">
        <v>3763</v>
      </c>
      <c r="G27" s="582">
        <f t="shared" si="13"/>
        <v>497</v>
      </c>
      <c r="H27" s="274">
        <f t="shared" si="14"/>
        <v>0.13207547169811321</v>
      </c>
      <c r="I27" s="582">
        <v>3444</v>
      </c>
      <c r="J27" s="582">
        <f t="shared" si="15"/>
        <v>-319</v>
      </c>
      <c r="K27" s="274">
        <f t="shared" si="16"/>
        <v>-8.4772787669412708E-2</v>
      </c>
      <c r="L27" s="62">
        <v>4447</v>
      </c>
      <c r="M27" s="62">
        <v>1003</v>
      </c>
      <c r="N27" s="241">
        <v>0.29123112659698025</v>
      </c>
      <c r="O27" s="62">
        <v>4325</v>
      </c>
      <c r="P27" s="62">
        <f t="shared" si="17"/>
        <v>-122</v>
      </c>
      <c r="Q27" s="241">
        <f t="shared" si="0"/>
        <v>-2.7434225320440746E-2</v>
      </c>
      <c r="R27" s="62">
        <v>4684</v>
      </c>
      <c r="S27" s="62">
        <f t="shared" si="1"/>
        <v>359</v>
      </c>
      <c r="T27" s="241">
        <f t="shared" si="2"/>
        <v>8.3005780346820809E-2</v>
      </c>
      <c r="U27" s="62">
        <v>5964</v>
      </c>
      <c r="V27" s="62">
        <f t="shared" si="36"/>
        <v>1280</v>
      </c>
      <c r="W27" s="241">
        <f t="shared" si="19"/>
        <v>0.27327070879590093</v>
      </c>
      <c r="X27" s="166">
        <v>5245</v>
      </c>
      <c r="Y27" s="62">
        <f t="shared" si="43"/>
        <v>-719</v>
      </c>
      <c r="Z27" s="95">
        <f t="shared" si="44"/>
        <v>-0.12055667337357479</v>
      </c>
      <c r="AA27" s="202">
        <v>5334</v>
      </c>
      <c r="AB27" s="583">
        <f t="shared" si="4"/>
        <v>89</v>
      </c>
      <c r="AC27" s="584">
        <f t="shared" si="45"/>
        <v>1.6968541468064823E-2</v>
      </c>
      <c r="AD27" s="78">
        <v>5193</v>
      </c>
      <c r="AE27" s="78">
        <v>333</v>
      </c>
      <c r="AF27" s="62">
        <v>4995</v>
      </c>
      <c r="AG27" s="62">
        <f t="shared" si="20"/>
        <v>-339</v>
      </c>
      <c r="AH27" s="241">
        <f t="shared" si="21"/>
        <v>-6.3554555680539929E-2</v>
      </c>
      <c r="AI27" s="78">
        <v>5193</v>
      </c>
      <c r="AJ27" s="585">
        <v>5193</v>
      </c>
      <c r="AK27" s="136">
        <v>5247</v>
      </c>
      <c r="AM27" s="202">
        <f t="shared" si="22"/>
        <v>5247</v>
      </c>
      <c r="AN27" s="585">
        <v>3968</v>
      </c>
      <c r="AO27" s="585">
        <v>3968</v>
      </c>
      <c r="AP27" s="591">
        <v>754</v>
      </c>
      <c r="AQ27" s="591">
        <v>75</v>
      </c>
      <c r="AR27" s="78">
        <f t="shared" si="23"/>
        <v>829</v>
      </c>
      <c r="AS27" s="52">
        <f t="shared" si="24"/>
        <v>5364.7534599999999</v>
      </c>
      <c r="AT27" s="78">
        <f t="shared" si="25"/>
        <v>369.7534599999999</v>
      </c>
      <c r="AU27" s="260">
        <f t="shared" si="26"/>
        <v>7.4024716716716704E-2</v>
      </c>
      <c r="AV27" s="78">
        <f t="shared" si="41"/>
        <v>369.7534599999999</v>
      </c>
      <c r="AW27" s="260">
        <f t="shared" si="42"/>
        <v>7.4024716716716704E-2</v>
      </c>
      <c r="AX27" s="62">
        <v>4085</v>
      </c>
      <c r="AY27" s="62">
        <f t="shared" si="27"/>
        <v>-910</v>
      </c>
      <c r="AZ27" s="241">
        <f t="shared" si="28"/>
        <v>-0.18218218218218218</v>
      </c>
      <c r="BA27" s="616">
        <v>4774.0706600000003</v>
      </c>
      <c r="BB27" s="616">
        <v>4535.7534599999999</v>
      </c>
      <c r="BC27" s="616">
        <f t="shared" si="29"/>
        <v>238.31720000000041</v>
      </c>
      <c r="BD27" s="31">
        <f t="shared" si="30"/>
        <v>4.9919076815675034E-2</v>
      </c>
      <c r="BE27" s="62">
        <v>4268</v>
      </c>
      <c r="BF27" s="62">
        <f t="shared" si="38"/>
        <v>183</v>
      </c>
      <c r="BG27" s="241">
        <f t="shared" si="39"/>
        <v>4.4798041615667077E-2</v>
      </c>
      <c r="BH27" s="78">
        <v>1104</v>
      </c>
      <c r="BI27" s="78"/>
      <c r="BJ27" s="78"/>
      <c r="BK27" s="78">
        <v>17</v>
      </c>
      <c r="BL27" s="487">
        <f>BE27+BH27+BI27+BJ27+BK27</f>
        <v>5389</v>
      </c>
      <c r="BM27" s="487">
        <f>BL27-AS27</f>
        <v>24.246540000000095</v>
      </c>
      <c r="BN27" s="487">
        <v>5836</v>
      </c>
      <c r="BO27" s="681">
        <v>5812</v>
      </c>
      <c r="BP27" s="39">
        <f t="shared" si="33"/>
        <v>1544</v>
      </c>
      <c r="BQ27" s="579">
        <f t="shared" si="8"/>
        <v>4.5196000488716016E-3</v>
      </c>
      <c r="BR27" s="99">
        <f t="shared" si="34"/>
        <v>0.36176194939081535</v>
      </c>
      <c r="BS27" s="487">
        <v>965.19299999999998</v>
      </c>
      <c r="BV27" s="595">
        <v>17.212</v>
      </c>
      <c r="BW27" s="280">
        <f t="shared" si="40"/>
        <v>6818.4050000000007</v>
      </c>
      <c r="BX27" s="39">
        <f t="shared" si="35"/>
        <v>1429.4050000000007</v>
      </c>
      <c r="BY27" s="51">
        <f t="shared" si="10"/>
        <v>0.26524494340322891</v>
      </c>
    </row>
    <row r="28" spans="1:77" s="79" customFormat="1" ht="18" customHeight="1">
      <c r="A28" s="53" t="s">
        <v>4</v>
      </c>
      <c r="B28" s="323">
        <v>954</v>
      </c>
      <c r="C28" s="323">
        <v>1260</v>
      </c>
      <c r="D28" s="323">
        <f t="shared" si="11"/>
        <v>306</v>
      </c>
      <c r="E28" s="352">
        <f t="shared" si="12"/>
        <v>0.32075471698113206</v>
      </c>
      <c r="F28" s="582">
        <v>1290</v>
      </c>
      <c r="G28" s="582">
        <f t="shared" si="13"/>
        <v>30</v>
      </c>
      <c r="H28" s="274">
        <f t="shared" si="14"/>
        <v>2.3255813953488372E-2</v>
      </c>
      <c r="I28" s="582">
        <v>1245</v>
      </c>
      <c r="J28" s="582">
        <f t="shared" si="15"/>
        <v>-45</v>
      </c>
      <c r="K28" s="274">
        <f t="shared" si="16"/>
        <v>-3.4883720930232558E-2</v>
      </c>
      <c r="L28" s="62">
        <v>1279</v>
      </c>
      <c r="M28" s="62">
        <v>34</v>
      </c>
      <c r="N28" s="241">
        <v>2.7309236947791166E-2</v>
      </c>
      <c r="O28" s="62">
        <v>1292</v>
      </c>
      <c r="P28" s="62">
        <f t="shared" si="17"/>
        <v>13</v>
      </c>
      <c r="Q28" s="241">
        <f t="shared" si="0"/>
        <v>1.0164190774042221E-2</v>
      </c>
      <c r="R28" s="62">
        <v>1414</v>
      </c>
      <c r="S28" s="62">
        <f t="shared" si="1"/>
        <v>122</v>
      </c>
      <c r="T28" s="241">
        <f t="shared" si="2"/>
        <v>9.4427244582043338E-2</v>
      </c>
      <c r="U28" s="62">
        <v>1495</v>
      </c>
      <c r="V28" s="62">
        <f t="shared" si="36"/>
        <v>81</v>
      </c>
      <c r="W28" s="241">
        <f t="shared" si="19"/>
        <v>5.7284299858557285E-2</v>
      </c>
      <c r="X28" s="166">
        <v>1589</v>
      </c>
      <c r="Y28" s="62">
        <f t="shared" si="43"/>
        <v>94</v>
      </c>
      <c r="Z28" s="95">
        <f t="shared" si="44"/>
        <v>6.2876254180602012E-2</v>
      </c>
      <c r="AA28" s="202">
        <v>1721</v>
      </c>
      <c r="AB28" s="583">
        <f t="shared" si="4"/>
        <v>132</v>
      </c>
      <c r="AC28" s="584">
        <f t="shared" si="45"/>
        <v>8.3071113908118319E-2</v>
      </c>
      <c r="AD28" s="78">
        <v>1690</v>
      </c>
      <c r="AE28" s="78"/>
      <c r="AF28" s="62">
        <v>1636</v>
      </c>
      <c r="AG28" s="62">
        <f t="shared" si="20"/>
        <v>-85</v>
      </c>
      <c r="AH28" s="241">
        <f t="shared" si="21"/>
        <v>-4.9389889599070307E-2</v>
      </c>
      <c r="AI28" s="78">
        <v>1690</v>
      </c>
      <c r="AJ28" s="585">
        <v>1690</v>
      </c>
      <c r="AK28" s="136">
        <v>1702</v>
      </c>
      <c r="AM28" s="202">
        <f t="shared" si="22"/>
        <v>1702</v>
      </c>
      <c r="AN28" s="585">
        <v>1395</v>
      </c>
      <c r="AO28" s="585">
        <v>1395</v>
      </c>
      <c r="AP28" s="591">
        <v>168</v>
      </c>
      <c r="AQ28" s="591">
        <v>2</v>
      </c>
      <c r="AR28" s="78">
        <f t="shared" si="23"/>
        <v>170</v>
      </c>
      <c r="AS28" s="52">
        <f t="shared" si="24"/>
        <v>1543.7620399999998</v>
      </c>
      <c r="AT28" s="78">
        <f t="shared" si="25"/>
        <v>-92.237960000000157</v>
      </c>
      <c r="AU28" s="260">
        <f t="shared" si="26"/>
        <v>-5.6380171149144349E-2</v>
      </c>
      <c r="AV28" s="78">
        <f t="shared" si="41"/>
        <v>-92.237960000000157</v>
      </c>
      <c r="AW28" s="260">
        <f t="shared" si="42"/>
        <v>-5.6380171149144349E-2</v>
      </c>
      <c r="AX28" s="62">
        <v>1415</v>
      </c>
      <c r="AY28" s="62">
        <f t="shared" si="27"/>
        <v>-221</v>
      </c>
      <c r="AZ28" s="241">
        <f t="shared" si="28"/>
        <v>-0.13508557457212714</v>
      </c>
      <c r="BA28" s="616">
        <f>1324.97443+90</f>
        <v>1414.97443</v>
      </c>
      <c r="BB28" s="616">
        <f>1324.88693+48.87511</f>
        <v>1373.7620399999998</v>
      </c>
      <c r="BC28" s="616">
        <f t="shared" si="29"/>
        <v>41.212390000000141</v>
      </c>
      <c r="BD28" s="31">
        <f>BC28/BA28</f>
        <v>2.9125890281989152E-2</v>
      </c>
      <c r="BE28" s="62">
        <f>1313+94</f>
        <v>1407</v>
      </c>
      <c r="BF28" s="62">
        <f t="shared" si="38"/>
        <v>-8</v>
      </c>
      <c r="BG28" s="241">
        <f t="shared" si="39"/>
        <v>-5.6537102473498231E-3</v>
      </c>
      <c r="BH28" s="78">
        <v>157</v>
      </c>
      <c r="BI28" s="78"/>
      <c r="BJ28" s="78"/>
      <c r="BK28" s="78">
        <v>12</v>
      </c>
      <c r="BL28" s="487">
        <f t="shared" si="31"/>
        <v>1576</v>
      </c>
      <c r="BM28" s="487">
        <f t="shared" si="32"/>
        <v>32.237960000000157</v>
      </c>
      <c r="BN28" s="487">
        <v>1474</v>
      </c>
      <c r="BO28" s="681">
        <v>2601</v>
      </c>
      <c r="BP28" s="39">
        <f t="shared" si="33"/>
        <v>1194</v>
      </c>
      <c r="BQ28" s="579">
        <f t="shared" si="8"/>
        <v>2.0882726200470741E-2</v>
      </c>
      <c r="BR28" s="99">
        <f t="shared" si="34"/>
        <v>0.84861407249466947</v>
      </c>
      <c r="BS28" s="487">
        <v>157.97800000000001</v>
      </c>
      <c r="BV28" s="487">
        <v>12.385999999999999</v>
      </c>
      <c r="BW28" s="280">
        <f t="shared" si="40"/>
        <v>1644.364</v>
      </c>
      <c r="BX28" s="39">
        <f t="shared" si="35"/>
        <v>68.364000000000033</v>
      </c>
      <c r="BY28" s="51">
        <f t="shared" si="10"/>
        <v>4.337817258883251E-2</v>
      </c>
    </row>
    <row r="29" spans="1:77" ht="18" customHeight="1">
      <c r="A29" s="53" t="s">
        <v>5</v>
      </c>
      <c r="B29" s="322">
        <v>494</v>
      </c>
      <c r="C29" s="322">
        <v>586</v>
      </c>
      <c r="D29" s="322">
        <f t="shared" si="11"/>
        <v>92</v>
      </c>
      <c r="E29" s="351">
        <f t="shared" si="12"/>
        <v>0.18623481781376519</v>
      </c>
      <c r="F29" s="10">
        <v>623</v>
      </c>
      <c r="G29" s="10">
        <f t="shared" si="13"/>
        <v>37</v>
      </c>
      <c r="H29" s="14">
        <f t="shared" si="14"/>
        <v>5.93900481540931E-2</v>
      </c>
      <c r="I29" s="10">
        <v>624</v>
      </c>
      <c r="J29" s="10">
        <f t="shared" si="15"/>
        <v>1</v>
      </c>
      <c r="K29" s="14">
        <f t="shared" si="16"/>
        <v>1.6051364365971107E-3</v>
      </c>
      <c r="L29" s="52">
        <v>653</v>
      </c>
      <c r="M29" s="52">
        <v>29</v>
      </c>
      <c r="N29" s="58">
        <v>4.6474358974358976E-2</v>
      </c>
      <c r="O29" s="52">
        <v>682</v>
      </c>
      <c r="P29" s="52">
        <f t="shared" si="17"/>
        <v>29</v>
      </c>
      <c r="Q29" s="58">
        <f t="shared" si="0"/>
        <v>4.44104134762634E-2</v>
      </c>
      <c r="R29" s="52">
        <v>767</v>
      </c>
      <c r="S29" s="52">
        <f t="shared" si="1"/>
        <v>85</v>
      </c>
      <c r="T29" s="58">
        <f t="shared" si="2"/>
        <v>0.12463343108504399</v>
      </c>
      <c r="U29" s="52">
        <v>807</v>
      </c>
      <c r="V29" s="52">
        <f t="shared" si="36"/>
        <v>40</v>
      </c>
      <c r="W29" s="58">
        <f t="shared" si="19"/>
        <v>5.215123859191656E-2</v>
      </c>
      <c r="X29" s="166">
        <v>922</v>
      </c>
      <c r="Y29" s="52">
        <f t="shared" si="43"/>
        <v>115</v>
      </c>
      <c r="Z29" s="95">
        <f t="shared" si="44"/>
        <v>0.14250309789343246</v>
      </c>
      <c r="AA29" s="202">
        <v>980</v>
      </c>
      <c r="AB29" s="172">
        <f t="shared" si="4"/>
        <v>58</v>
      </c>
      <c r="AC29" s="100">
        <f t="shared" si="45"/>
        <v>6.2906724511930592E-2</v>
      </c>
      <c r="AD29" s="65">
        <v>1004</v>
      </c>
      <c r="AE29" s="65"/>
      <c r="AF29" s="52">
        <v>1055</v>
      </c>
      <c r="AG29" s="52">
        <f t="shared" si="20"/>
        <v>75</v>
      </c>
      <c r="AH29" s="58">
        <f t="shared" si="21"/>
        <v>7.6530612244897961E-2</v>
      </c>
      <c r="AI29" s="65">
        <v>1004</v>
      </c>
      <c r="AJ29" s="220">
        <v>1004</v>
      </c>
      <c r="AK29" s="136">
        <v>971</v>
      </c>
      <c r="AM29" s="256">
        <f t="shared" si="22"/>
        <v>971</v>
      </c>
      <c r="AN29" s="220">
        <v>0</v>
      </c>
      <c r="AO29" s="220">
        <v>0</v>
      </c>
      <c r="AP29" s="65"/>
      <c r="AQ29" s="65"/>
      <c r="AR29" s="65">
        <f t="shared" si="23"/>
        <v>0</v>
      </c>
      <c r="AS29" s="52">
        <f t="shared" si="24"/>
        <v>733.01909999999998</v>
      </c>
      <c r="AT29" s="65">
        <f t="shared" si="25"/>
        <v>-321.98090000000002</v>
      </c>
      <c r="AU29" s="99">
        <f t="shared" si="26"/>
        <v>-0.30519516587677725</v>
      </c>
      <c r="AV29" s="65">
        <f t="shared" si="41"/>
        <v>-321.98090000000002</v>
      </c>
      <c r="AW29" s="99">
        <f t="shared" si="42"/>
        <v>-0.30519516587677725</v>
      </c>
      <c r="AX29" s="52">
        <v>869</v>
      </c>
      <c r="AY29" s="52">
        <f t="shared" si="27"/>
        <v>-186</v>
      </c>
      <c r="AZ29" s="58">
        <f t="shared" si="28"/>
        <v>-0.17630331753554501</v>
      </c>
      <c r="BA29" s="616">
        <v>828.75769000000003</v>
      </c>
      <c r="BB29" s="616">
        <v>733.01909999999998</v>
      </c>
      <c r="BC29" s="616">
        <f t="shared" si="29"/>
        <v>95.738590000000045</v>
      </c>
      <c r="BD29" s="31">
        <f t="shared" si="30"/>
        <v>0.11552060530503197</v>
      </c>
      <c r="BE29" s="52">
        <v>951</v>
      </c>
      <c r="BF29" s="52">
        <f t="shared" si="38"/>
        <v>82</v>
      </c>
      <c r="BG29" s="58">
        <f t="shared" si="39"/>
        <v>9.4361334867663987E-2</v>
      </c>
      <c r="BH29" s="65">
        <v>0</v>
      </c>
      <c r="BI29" s="65"/>
      <c r="BJ29" s="65"/>
      <c r="BK29" s="65">
        <v>8</v>
      </c>
      <c r="BL29" s="39">
        <f t="shared" si="31"/>
        <v>959</v>
      </c>
      <c r="BM29" s="39">
        <f t="shared" si="32"/>
        <v>225.98090000000002</v>
      </c>
      <c r="BN29" s="39">
        <v>971</v>
      </c>
      <c r="BO29" s="681">
        <v>1151</v>
      </c>
      <c r="BP29" s="39">
        <f t="shared" si="33"/>
        <v>200</v>
      </c>
      <c r="BQ29" s="51">
        <f t="shared" si="8"/>
        <v>0.30828787408131658</v>
      </c>
      <c r="BR29" s="99">
        <f t="shared" si="34"/>
        <v>0.2103049421661409</v>
      </c>
      <c r="BS29" s="39">
        <v>182.339</v>
      </c>
      <c r="BV29" s="595">
        <v>7.9039999999999999</v>
      </c>
      <c r="BW29" s="280">
        <f t="shared" si="40"/>
        <v>1161.2429999999999</v>
      </c>
      <c r="BX29" s="39">
        <f t="shared" si="35"/>
        <v>202.24299999999994</v>
      </c>
      <c r="BY29" s="51">
        <f t="shared" si="10"/>
        <v>0.21088946819603749</v>
      </c>
    </row>
    <row r="30" spans="1:77" ht="18" customHeight="1">
      <c r="A30" s="53" t="s">
        <v>6</v>
      </c>
      <c r="B30" s="322">
        <v>1339</v>
      </c>
      <c r="C30" s="322">
        <v>1400</v>
      </c>
      <c r="D30" s="322">
        <f t="shared" si="11"/>
        <v>61</v>
      </c>
      <c r="E30" s="351">
        <f t="shared" si="12"/>
        <v>4.5556385362210607E-2</v>
      </c>
      <c r="F30" s="10">
        <v>1485</v>
      </c>
      <c r="G30" s="10">
        <f t="shared" si="13"/>
        <v>85</v>
      </c>
      <c r="H30" s="14">
        <f t="shared" si="14"/>
        <v>5.7239057239057242E-2</v>
      </c>
      <c r="I30" s="10">
        <v>1439</v>
      </c>
      <c r="J30" s="10">
        <f t="shared" si="15"/>
        <v>-46</v>
      </c>
      <c r="K30" s="14">
        <f t="shared" si="16"/>
        <v>-3.0976430976430977E-2</v>
      </c>
      <c r="L30" s="52">
        <v>1446</v>
      </c>
      <c r="M30" s="52">
        <v>7</v>
      </c>
      <c r="N30" s="58">
        <v>4.864489228630994E-3</v>
      </c>
      <c r="O30" s="52">
        <v>1438</v>
      </c>
      <c r="P30" s="52">
        <f t="shared" si="17"/>
        <v>-8</v>
      </c>
      <c r="Q30" s="58">
        <f t="shared" si="0"/>
        <v>-5.5325034578146614E-3</v>
      </c>
      <c r="R30" s="52">
        <v>1578</v>
      </c>
      <c r="S30" s="52">
        <f t="shared" si="1"/>
        <v>140</v>
      </c>
      <c r="T30" s="58">
        <f t="shared" si="2"/>
        <v>9.7357440890125171E-2</v>
      </c>
      <c r="U30" s="52">
        <v>1652</v>
      </c>
      <c r="V30" s="52">
        <f t="shared" si="36"/>
        <v>74</v>
      </c>
      <c r="W30" s="58">
        <f t="shared" si="19"/>
        <v>4.6894803548795945E-2</v>
      </c>
      <c r="X30" s="166">
        <v>1775</v>
      </c>
      <c r="Y30" s="52">
        <f t="shared" si="43"/>
        <v>123</v>
      </c>
      <c r="Z30" s="95">
        <f t="shared" si="44"/>
        <v>7.4455205811138014E-2</v>
      </c>
      <c r="AA30" s="202">
        <v>1778</v>
      </c>
      <c r="AB30" s="172">
        <f t="shared" si="4"/>
        <v>3</v>
      </c>
      <c r="AC30" s="100">
        <f t="shared" si="45"/>
        <v>1.6901408450704226E-3</v>
      </c>
      <c r="AD30" s="65">
        <v>1798</v>
      </c>
      <c r="AE30" s="65"/>
      <c r="AF30" s="52">
        <v>1753</v>
      </c>
      <c r="AG30" s="52">
        <f t="shared" si="20"/>
        <v>-25</v>
      </c>
      <c r="AH30" s="58">
        <f t="shared" si="21"/>
        <v>-1.40607424071991E-2</v>
      </c>
      <c r="AI30" s="65">
        <v>1798</v>
      </c>
      <c r="AJ30" s="220">
        <v>1798</v>
      </c>
      <c r="AK30" s="136">
        <v>1970</v>
      </c>
      <c r="AM30" s="256">
        <f t="shared" si="22"/>
        <v>1970</v>
      </c>
      <c r="AN30" s="220">
        <v>0</v>
      </c>
      <c r="AO30" s="220">
        <v>0</v>
      </c>
      <c r="AP30" s="65"/>
      <c r="AQ30" s="65"/>
      <c r="AR30" s="65">
        <f t="shared" si="23"/>
        <v>0</v>
      </c>
      <c r="AS30" s="52">
        <f t="shared" si="24"/>
        <v>1115.5742499999999</v>
      </c>
      <c r="AT30" s="65">
        <f t="shared" si="25"/>
        <v>-637.42575000000011</v>
      </c>
      <c r="AU30" s="99">
        <f t="shared" si="26"/>
        <v>-0.3636199372504279</v>
      </c>
      <c r="AV30" s="65">
        <f t="shared" si="41"/>
        <v>-637.42575000000011</v>
      </c>
      <c r="AW30" s="99">
        <f t="shared" si="42"/>
        <v>-0.3636199372504279</v>
      </c>
      <c r="AX30" s="52">
        <v>1287</v>
      </c>
      <c r="AY30" s="52">
        <f t="shared" si="27"/>
        <v>-466</v>
      </c>
      <c r="AZ30" s="58">
        <f t="shared" si="28"/>
        <v>-0.26583000570450654</v>
      </c>
      <c r="BA30" s="616">
        <v>1212.4568400000001</v>
      </c>
      <c r="BB30" s="616">
        <v>1115.5742499999999</v>
      </c>
      <c r="BC30" s="616">
        <f t="shared" si="29"/>
        <v>96.882590000000164</v>
      </c>
      <c r="BD30" s="31">
        <f>BC30/BA30</f>
        <v>7.9906011334803601E-2</v>
      </c>
      <c r="BE30" s="52">
        <v>1360</v>
      </c>
      <c r="BF30" s="52">
        <f t="shared" si="38"/>
        <v>73</v>
      </c>
      <c r="BG30" s="58">
        <f t="shared" si="39"/>
        <v>5.672105672105672E-2</v>
      </c>
      <c r="BH30" s="65">
        <v>0</v>
      </c>
      <c r="BI30" s="65"/>
      <c r="BJ30" s="65"/>
      <c r="BK30" s="65">
        <v>18</v>
      </c>
      <c r="BL30" s="39">
        <f t="shared" si="31"/>
        <v>1378</v>
      </c>
      <c r="BM30" s="39">
        <f t="shared" si="32"/>
        <v>262.42575000000011</v>
      </c>
      <c r="BN30" s="39">
        <v>1383</v>
      </c>
      <c r="BO30" s="681">
        <v>1468</v>
      </c>
      <c r="BP30" s="39">
        <f t="shared" si="33"/>
        <v>108</v>
      </c>
      <c r="BQ30" s="51">
        <f t="shared" si="8"/>
        <v>0.23523826405996745</v>
      </c>
      <c r="BR30" s="99">
        <f t="shared" si="34"/>
        <v>7.9411764705882348E-2</v>
      </c>
      <c r="BS30" s="39">
        <v>346.43299999999999</v>
      </c>
      <c r="BV30" s="595">
        <v>13.02</v>
      </c>
      <c r="BW30" s="280">
        <f t="shared" si="40"/>
        <v>1742.453</v>
      </c>
      <c r="BX30" s="39">
        <f t="shared" si="35"/>
        <v>364.45299999999997</v>
      </c>
      <c r="BY30" s="51">
        <f t="shared" si="10"/>
        <v>0.26447968069666183</v>
      </c>
    </row>
    <row r="31" spans="1:77" ht="18" customHeight="1">
      <c r="A31" s="53" t="s">
        <v>7</v>
      </c>
      <c r="B31" s="322">
        <v>367</v>
      </c>
      <c r="C31" s="322">
        <v>367</v>
      </c>
      <c r="D31" s="322">
        <f t="shared" si="11"/>
        <v>0</v>
      </c>
      <c r="E31" s="351">
        <f t="shared" si="12"/>
        <v>0</v>
      </c>
      <c r="F31" s="10">
        <v>367</v>
      </c>
      <c r="G31" s="10">
        <f t="shared" si="13"/>
        <v>0</v>
      </c>
      <c r="H31" s="14">
        <f t="shared" si="14"/>
        <v>0</v>
      </c>
      <c r="I31" s="10">
        <v>397</v>
      </c>
      <c r="J31" s="10">
        <f t="shared" si="15"/>
        <v>30</v>
      </c>
      <c r="K31" s="14">
        <f t="shared" si="16"/>
        <v>8.1743869209809264E-2</v>
      </c>
      <c r="L31" s="52">
        <v>422</v>
      </c>
      <c r="M31" s="52">
        <v>25</v>
      </c>
      <c r="N31" s="58">
        <v>6.2972292191435769E-2</v>
      </c>
      <c r="O31" s="52">
        <v>430</v>
      </c>
      <c r="P31" s="52">
        <f t="shared" si="17"/>
        <v>8</v>
      </c>
      <c r="Q31" s="58">
        <f t="shared" si="0"/>
        <v>1.8957345971563982E-2</v>
      </c>
      <c r="R31" s="52">
        <v>440</v>
      </c>
      <c r="S31" s="52">
        <f t="shared" si="1"/>
        <v>10</v>
      </c>
      <c r="T31" s="58">
        <f t="shared" si="2"/>
        <v>2.3255813953488372E-2</v>
      </c>
      <c r="U31" s="52">
        <v>421</v>
      </c>
      <c r="V31" s="52">
        <f t="shared" si="36"/>
        <v>-19</v>
      </c>
      <c r="W31" s="58">
        <f t="shared" si="19"/>
        <v>-4.3181818181818182E-2</v>
      </c>
      <c r="X31" s="166">
        <v>381</v>
      </c>
      <c r="Y31" s="52">
        <f t="shared" si="43"/>
        <v>-40</v>
      </c>
      <c r="Z31" s="95">
        <f t="shared" si="44"/>
        <v>-9.5011876484560567E-2</v>
      </c>
      <c r="AA31" s="202">
        <v>396</v>
      </c>
      <c r="AB31" s="172">
        <f t="shared" si="4"/>
        <v>15</v>
      </c>
      <c r="AC31" s="100">
        <f t="shared" si="45"/>
        <v>3.937007874015748E-2</v>
      </c>
      <c r="AD31" s="219">
        <v>396</v>
      </c>
      <c r="AE31" s="219"/>
      <c r="AF31" s="52">
        <v>396</v>
      </c>
      <c r="AG31" s="52">
        <f t="shared" si="20"/>
        <v>0</v>
      </c>
      <c r="AH31" s="58">
        <f t="shared" si="21"/>
        <v>0</v>
      </c>
      <c r="AI31" s="219">
        <v>396</v>
      </c>
      <c r="AJ31" s="220">
        <v>396</v>
      </c>
      <c r="AK31" s="136">
        <v>396</v>
      </c>
      <c r="AM31" s="256">
        <f t="shared" si="22"/>
        <v>396</v>
      </c>
      <c r="AN31" s="220">
        <v>396</v>
      </c>
      <c r="AO31" s="220">
        <v>396</v>
      </c>
      <c r="AP31" s="261">
        <v>0</v>
      </c>
      <c r="AQ31" s="261">
        <v>0</v>
      </c>
      <c r="AR31" s="65">
        <f t="shared" si="23"/>
        <v>0</v>
      </c>
      <c r="AS31" s="52">
        <f t="shared" si="24"/>
        <v>494.92874999999998</v>
      </c>
      <c r="AT31" s="65">
        <f t="shared" si="25"/>
        <v>98.92874999999998</v>
      </c>
      <c r="AU31" s="99">
        <f t="shared" si="26"/>
        <v>0.2498200757575757</v>
      </c>
      <c r="AV31" s="65">
        <f t="shared" si="41"/>
        <v>98.92874999999998</v>
      </c>
      <c r="AW31" s="99">
        <f t="shared" si="42"/>
        <v>0.2498200757575757</v>
      </c>
      <c r="AX31" s="52">
        <v>396</v>
      </c>
      <c r="AY31" s="52">
        <f t="shared" si="27"/>
        <v>0</v>
      </c>
      <c r="AZ31" s="58">
        <f t="shared" si="28"/>
        <v>0</v>
      </c>
      <c r="BA31" s="616">
        <v>494.92899999999997</v>
      </c>
      <c r="BB31" s="616">
        <v>494.92874999999998</v>
      </c>
      <c r="BC31" s="616">
        <f t="shared" si="29"/>
        <v>2.4999999999408828E-4</v>
      </c>
      <c r="BD31" s="31">
        <f t="shared" si="30"/>
        <v>5.0512295701825578E-7</v>
      </c>
      <c r="BE31" s="52">
        <v>396</v>
      </c>
      <c r="BF31" s="52">
        <f t="shared" si="38"/>
        <v>0</v>
      </c>
      <c r="BG31" s="58">
        <f t="shared" si="39"/>
        <v>0</v>
      </c>
      <c r="BH31" s="65"/>
      <c r="BI31" s="65"/>
      <c r="BJ31" s="65"/>
      <c r="BK31" s="65"/>
      <c r="BL31" s="39">
        <f t="shared" si="31"/>
        <v>396</v>
      </c>
      <c r="BM31" s="39">
        <f t="shared" si="32"/>
        <v>-98.92874999999998</v>
      </c>
      <c r="BN31" s="39">
        <v>408</v>
      </c>
      <c r="BO31" s="681">
        <v>408</v>
      </c>
      <c r="BP31" s="39">
        <f t="shared" si="33"/>
        <v>12</v>
      </c>
      <c r="BQ31" s="51">
        <f t="shared" si="8"/>
        <v>-0.19988483190762305</v>
      </c>
      <c r="BR31" s="99">
        <f t="shared" si="34"/>
        <v>3.0303030303030304E-2</v>
      </c>
      <c r="BV31" s="39"/>
      <c r="BW31" s="280">
        <f t="shared" si="40"/>
        <v>408</v>
      </c>
      <c r="BX31" s="39">
        <f t="shared" si="35"/>
        <v>12</v>
      </c>
      <c r="BY31" s="51">
        <f t="shared" si="10"/>
        <v>3.0303030303030304E-2</v>
      </c>
    </row>
    <row r="32" spans="1:77" s="79" customFormat="1" ht="18" customHeight="1">
      <c r="A32" s="53" t="s">
        <v>213</v>
      </c>
      <c r="B32" s="323">
        <f>35974+3927</f>
        <v>39901</v>
      </c>
      <c r="C32" s="323">
        <f>29277+2995</f>
        <v>32272</v>
      </c>
      <c r="D32" s="323">
        <f t="shared" si="11"/>
        <v>-7629</v>
      </c>
      <c r="E32" s="352">
        <f t="shared" si="12"/>
        <v>-0.19119821558356934</v>
      </c>
      <c r="F32" s="582">
        <f>40710+1246</f>
        <v>41956</v>
      </c>
      <c r="G32" s="582">
        <f t="shared" si="13"/>
        <v>9684</v>
      </c>
      <c r="H32" s="274">
        <f t="shared" si="14"/>
        <v>0.23081323291066833</v>
      </c>
      <c r="I32" s="582">
        <f>28360+2584</f>
        <v>30944</v>
      </c>
      <c r="J32" s="582">
        <f t="shared" si="15"/>
        <v>-11012</v>
      </c>
      <c r="K32" s="274">
        <f t="shared" si="16"/>
        <v>-0.26246543998474592</v>
      </c>
      <c r="L32" s="62">
        <v>33504</v>
      </c>
      <c r="M32" s="62">
        <v>2560</v>
      </c>
      <c r="N32" s="241">
        <v>8.2730093071354704E-2</v>
      </c>
      <c r="O32" s="62">
        <v>39845</v>
      </c>
      <c r="P32" s="62">
        <f t="shared" si="17"/>
        <v>6341</v>
      </c>
      <c r="Q32" s="241">
        <f t="shared" si="0"/>
        <v>0.18926098376313277</v>
      </c>
      <c r="R32" s="62">
        <v>45037</v>
      </c>
      <c r="S32" s="62">
        <f t="shared" si="1"/>
        <v>5192</v>
      </c>
      <c r="T32" s="241">
        <f t="shared" si="2"/>
        <v>0.13030493160998871</v>
      </c>
      <c r="U32" s="62">
        <v>58690</v>
      </c>
      <c r="V32" s="62">
        <f t="shared" si="36"/>
        <v>13653</v>
      </c>
      <c r="W32" s="241">
        <f t="shared" si="19"/>
        <v>0.30315074272265025</v>
      </c>
      <c r="X32" s="166">
        <v>65810</v>
      </c>
      <c r="Y32" s="62">
        <f t="shared" si="43"/>
        <v>7120</v>
      </c>
      <c r="Z32" s="95">
        <f t="shared" si="44"/>
        <v>0.12131538592605214</v>
      </c>
      <c r="AA32" s="202">
        <v>68492</v>
      </c>
      <c r="AB32" s="583">
        <f t="shared" si="4"/>
        <v>2682</v>
      </c>
      <c r="AC32" s="584">
        <f t="shared" si="45"/>
        <v>4.0753684850326696E-2</v>
      </c>
      <c r="AD32" s="78">
        <v>58303</v>
      </c>
      <c r="AE32" s="78">
        <v>6834</v>
      </c>
      <c r="AF32" s="62">
        <v>59852</v>
      </c>
      <c r="AG32" s="62">
        <f t="shared" si="20"/>
        <v>-8640</v>
      </c>
      <c r="AH32" s="241">
        <f t="shared" si="21"/>
        <v>-0.12614611925480348</v>
      </c>
      <c r="AI32" s="78">
        <f>58303-1456</f>
        <v>56847</v>
      </c>
      <c r="AJ32" s="585">
        <f>65137-1456</f>
        <v>63681</v>
      </c>
      <c r="AK32" s="136">
        <v>57749</v>
      </c>
      <c r="AL32" s="585">
        <v>1900</v>
      </c>
      <c r="AM32" s="202">
        <f t="shared" si="22"/>
        <v>59649</v>
      </c>
      <c r="AN32" s="585">
        <v>53365</v>
      </c>
      <c r="AO32" s="585">
        <v>62004</v>
      </c>
      <c r="AP32" s="591">
        <v>0</v>
      </c>
      <c r="AQ32" s="591">
        <v>195</v>
      </c>
      <c r="AR32" s="78">
        <f t="shared" si="23"/>
        <v>195</v>
      </c>
      <c r="AS32" s="52">
        <f t="shared" si="24"/>
        <v>54722.822670000001</v>
      </c>
      <c r="AT32" s="78">
        <f t="shared" si="25"/>
        <v>-5129.1773299999986</v>
      </c>
      <c r="AU32" s="260">
        <f t="shared" si="26"/>
        <v>-8.5697676435206815E-2</v>
      </c>
      <c r="AV32" s="78">
        <f t="shared" si="41"/>
        <v>-5129.1773299999986</v>
      </c>
      <c r="AW32" s="260">
        <f t="shared" si="42"/>
        <v>-8.5697676435206815E-2</v>
      </c>
      <c r="AX32" s="62">
        <v>58313</v>
      </c>
      <c r="AY32" s="62">
        <f t="shared" si="27"/>
        <v>-1539</v>
      </c>
      <c r="AZ32" s="241">
        <f t="shared" si="28"/>
        <v>-2.5713426451914722E-2</v>
      </c>
      <c r="BA32" s="616">
        <f>50219.61977+8093.30028</f>
        <v>58312.920050000001</v>
      </c>
      <c r="BB32" s="616">
        <f>48935.87803+5591.94464</f>
        <v>54527.822670000001</v>
      </c>
      <c r="BC32" s="616">
        <f t="shared" si="29"/>
        <v>3785.0973799999992</v>
      </c>
      <c r="BD32" s="31">
        <f t="shared" si="30"/>
        <v>6.491009842680652E-2</v>
      </c>
      <c r="BE32" s="62">
        <f>56661+1624</f>
        <v>58285</v>
      </c>
      <c r="BF32" s="62">
        <f t="shared" si="38"/>
        <v>-28</v>
      </c>
      <c r="BG32" s="241">
        <f t="shared" si="39"/>
        <v>-4.8016737262703002E-4</v>
      </c>
      <c r="BH32" s="78">
        <v>0</v>
      </c>
      <c r="BI32" s="78"/>
      <c r="BJ32" s="78"/>
      <c r="BK32" s="78"/>
      <c r="BL32" s="487">
        <f t="shared" si="31"/>
        <v>58285</v>
      </c>
      <c r="BM32" s="487">
        <f t="shared" si="32"/>
        <v>3562.1773299999986</v>
      </c>
      <c r="BN32" s="487">
        <v>59800</v>
      </c>
      <c r="BO32" s="681">
        <v>60498</v>
      </c>
      <c r="BP32" s="39">
        <f t="shared" si="33"/>
        <v>2213</v>
      </c>
      <c r="BQ32" s="579">
        <f t="shared" si="8"/>
        <v>6.5094912071354941E-2</v>
      </c>
      <c r="BR32" s="99">
        <f t="shared" si="34"/>
        <v>3.7968602556403878E-2</v>
      </c>
      <c r="BS32" s="487">
        <v>2455.9690000000001</v>
      </c>
      <c r="BV32" s="487">
        <v>265.298</v>
      </c>
      <c r="BW32" s="280">
        <f t="shared" si="40"/>
        <v>62521.267</v>
      </c>
      <c r="BX32" s="39">
        <f t="shared" si="35"/>
        <v>4236.2669999999998</v>
      </c>
      <c r="BY32" s="51">
        <f t="shared" si="10"/>
        <v>7.2681942180663969E-2</v>
      </c>
    </row>
    <row r="33" spans="1:77" s="53" customFormat="1" ht="18" customHeight="1">
      <c r="A33" s="53" t="s">
        <v>72</v>
      </c>
      <c r="B33" s="323">
        <f>7180+916</f>
        <v>8096</v>
      </c>
      <c r="C33" s="323">
        <f>10673+0</f>
        <v>10673</v>
      </c>
      <c r="D33" s="323">
        <f t="shared" si="11"/>
        <v>2577</v>
      </c>
      <c r="E33" s="352">
        <f t="shared" si="12"/>
        <v>0.31830533596837945</v>
      </c>
      <c r="F33" s="582">
        <v>10581</v>
      </c>
      <c r="G33" s="582">
        <f t="shared" si="13"/>
        <v>-92</v>
      </c>
      <c r="H33" s="274">
        <f t="shared" si="14"/>
        <v>-8.6948303562990274E-3</v>
      </c>
      <c r="I33" s="582">
        <v>9872</v>
      </c>
      <c r="J33" s="582">
        <f t="shared" si="15"/>
        <v>-709</v>
      </c>
      <c r="K33" s="274">
        <f t="shared" si="16"/>
        <v>-6.7006899158869676E-2</v>
      </c>
      <c r="L33" s="155">
        <v>8705</v>
      </c>
      <c r="M33" s="155">
        <v>-1167</v>
      </c>
      <c r="N33" s="594">
        <v>-0.1182131280388979</v>
      </c>
      <c r="O33" s="155">
        <v>9991</v>
      </c>
      <c r="P33" s="155">
        <f t="shared" si="17"/>
        <v>1286</v>
      </c>
      <c r="Q33" s="594">
        <f t="shared" si="0"/>
        <v>0.14773118897185525</v>
      </c>
      <c r="R33" s="155">
        <v>11279</v>
      </c>
      <c r="S33" s="155">
        <f t="shared" si="1"/>
        <v>1288</v>
      </c>
      <c r="T33" s="594">
        <f t="shared" si="2"/>
        <v>0.12891602442197977</v>
      </c>
      <c r="U33" s="155">
        <v>12365</v>
      </c>
      <c r="V33" s="155">
        <f t="shared" si="36"/>
        <v>1086</v>
      </c>
      <c r="W33" s="594">
        <f t="shared" si="19"/>
        <v>9.6285131660608203E-2</v>
      </c>
      <c r="X33" s="176">
        <v>14886</v>
      </c>
      <c r="Y33" s="62">
        <f t="shared" si="43"/>
        <v>2521</v>
      </c>
      <c r="Z33" s="95">
        <f t="shared" si="44"/>
        <v>0.20388192478770722</v>
      </c>
      <c r="AA33" s="205">
        <v>14858</v>
      </c>
      <c r="AB33" s="583">
        <f t="shared" si="4"/>
        <v>-28</v>
      </c>
      <c r="AC33" s="584">
        <f t="shared" si="45"/>
        <v>-1.8809619776971652E-3</v>
      </c>
      <c r="AD33" s="520">
        <v>15457</v>
      </c>
      <c r="AE33" s="520"/>
      <c r="AF33" s="62">
        <v>14880</v>
      </c>
      <c r="AG33" s="62">
        <f t="shared" si="20"/>
        <v>22</v>
      </c>
      <c r="AH33" s="241">
        <f t="shared" si="21"/>
        <v>1.4806838067034595E-3</v>
      </c>
      <c r="AI33" s="520">
        <v>15457</v>
      </c>
      <c r="AJ33" s="245">
        <v>15457</v>
      </c>
      <c r="AK33" s="136">
        <v>14331</v>
      </c>
      <c r="AM33" s="202">
        <f t="shared" si="22"/>
        <v>14331</v>
      </c>
      <c r="AN33" s="245">
        <v>13567</v>
      </c>
      <c r="AO33" s="245">
        <v>13567</v>
      </c>
      <c r="AP33" s="270">
        <v>593</v>
      </c>
      <c r="AQ33" s="270">
        <v>0</v>
      </c>
      <c r="AR33" s="78">
        <f t="shared" si="23"/>
        <v>593</v>
      </c>
      <c r="AS33" s="52">
        <f t="shared" si="24"/>
        <v>12993.86816</v>
      </c>
      <c r="AT33" s="78">
        <f t="shared" si="25"/>
        <v>-1886.13184</v>
      </c>
      <c r="AU33" s="260">
        <f t="shared" si="26"/>
        <v>-0.12675617204301076</v>
      </c>
      <c r="AV33" s="78">
        <f t="shared" si="41"/>
        <v>-1886.13184</v>
      </c>
      <c r="AW33" s="260">
        <f t="shared" si="42"/>
        <v>-0.12675617204301076</v>
      </c>
      <c r="AX33" s="155">
        <v>13329</v>
      </c>
      <c r="AY33" s="62">
        <f t="shared" si="27"/>
        <v>-1551</v>
      </c>
      <c r="AZ33" s="241">
        <f t="shared" si="28"/>
        <v>-0.10423387096774193</v>
      </c>
      <c r="BA33" s="616">
        <v>13328.57625</v>
      </c>
      <c r="BB33" s="616">
        <v>12400.86816</v>
      </c>
      <c r="BC33" s="616">
        <f t="shared" si="29"/>
        <v>927.70809000000008</v>
      </c>
      <c r="BD33" s="31">
        <f t="shared" si="30"/>
        <v>6.9602939773856204E-2</v>
      </c>
      <c r="BE33" s="155">
        <v>13048</v>
      </c>
      <c r="BF33" s="62">
        <f t="shared" si="38"/>
        <v>-281</v>
      </c>
      <c r="BG33" s="241">
        <f t="shared" si="39"/>
        <v>-2.1081851601770576E-2</v>
      </c>
      <c r="BH33" s="78">
        <v>1433</v>
      </c>
      <c r="BI33" s="78"/>
      <c r="BJ33" s="78"/>
      <c r="BK33" s="78">
        <v>4</v>
      </c>
      <c r="BL33" s="487">
        <f t="shared" si="31"/>
        <v>14485</v>
      </c>
      <c r="BM33" s="487">
        <f t="shared" si="32"/>
        <v>1491.13184</v>
      </c>
      <c r="BN33" s="487">
        <v>13308</v>
      </c>
      <c r="BO33" s="681">
        <v>13308</v>
      </c>
      <c r="BP33" s="39">
        <f t="shared" si="33"/>
        <v>260</v>
      </c>
      <c r="BQ33" s="579">
        <f t="shared" si="8"/>
        <v>0.11475657761329787</v>
      </c>
      <c r="BR33" s="99">
        <f t="shared" si="34"/>
        <v>1.9926425505824647E-2</v>
      </c>
      <c r="BS33" s="646">
        <v>1827.691</v>
      </c>
      <c r="BV33" s="646">
        <v>4.1900000000000004</v>
      </c>
      <c r="BW33" s="280">
        <f t="shared" si="40"/>
        <v>15139.881000000001</v>
      </c>
      <c r="BX33" s="39">
        <f t="shared" si="35"/>
        <v>654.88100000000122</v>
      </c>
      <c r="BY33" s="51">
        <f t="shared" si="10"/>
        <v>4.5210976872626943E-2</v>
      </c>
    </row>
    <row r="34" spans="1:77" s="53" customFormat="1" ht="18" customHeight="1">
      <c r="A34" s="53" t="s">
        <v>73</v>
      </c>
      <c r="B34" s="323">
        <f>69179+8181</f>
        <v>77360</v>
      </c>
      <c r="C34" s="323">
        <f>76205+8260</f>
        <v>84465</v>
      </c>
      <c r="D34" s="323">
        <f t="shared" si="11"/>
        <v>7105</v>
      </c>
      <c r="E34" s="352">
        <f t="shared" si="12"/>
        <v>9.1843329886246119E-2</v>
      </c>
      <c r="F34" s="11">
        <f>72989+7552</f>
        <v>80541</v>
      </c>
      <c r="G34" s="582">
        <f t="shared" si="13"/>
        <v>-3924</v>
      </c>
      <c r="H34" s="274">
        <f t="shared" si="14"/>
        <v>-4.8720527433232762E-2</v>
      </c>
      <c r="I34" s="11">
        <f>74099+5822</f>
        <v>79921</v>
      </c>
      <c r="J34" s="582">
        <f t="shared" si="15"/>
        <v>-620</v>
      </c>
      <c r="K34" s="274">
        <f t="shared" si="16"/>
        <v>-7.697942662743199E-3</v>
      </c>
      <c r="L34" s="155">
        <v>85103</v>
      </c>
      <c r="M34" s="155">
        <v>5182</v>
      </c>
      <c r="N34" s="594">
        <v>6.4839028540683921E-2</v>
      </c>
      <c r="O34" s="155">
        <v>105381</v>
      </c>
      <c r="P34" s="155">
        <f t="shared" si="17"/>
        <v>20278</v>
      </c>
      <c r="Q34" s="594">
        <f t="shared" si="0"/>
        <v>0.23827597146986593</v>
      </c>
      <c r="R34" s="155">
        <v>119321</v>
      </c>
      <c r="S34" s="155">
        <f t="shared" si="1"/>
        <v>13940</v>
      </c>
      <c r="T34" s="594">
        <f t="shared" si="2"/>
        <v>0.13228191040130574</v>
      </c>
      <c r="U34" s="155">
        <v>133280</v>
      </c>
      <c r="V34" s="155">
        <f t="shared" si="36"/>
        <v>13959</v>
      </c>
      <c r="W34" s="155">
        <f t="shared" si="19"/>
        <v>0.11698695116534391</v>
      </c>
      <c r="X34" s="176">
        <v>130868</v>
      </c>
      <c r="Y34" s="62">
        <f t="shared" si="43"/>
        <v>-2412</v>
      </c>
      <c r="Z34" s="95">
        <f t="shared" si="44"/>
        <v>-1.8097238895558223E-2</v>
      </c>
      <c r="AA34" s="205">
        <v>153843</v>
      </c>
      <c r="AB34" s="583">
        <f t="shared" si="4"/>
        <v>22975</v>
      </c>
      <c r="AC34" s="584">
        <f t="shared" si="45"/>
        <v>0.17555857810923983</v>
      </c>
      <c r="AD34" s="520">
        <v>105866</v>
      </c>
      <c r="AE34" s="520">
        <v>37483</v>
      </c>
      <c r="AF34" s="62">
        <v>130367</v>
      </c>
      <c r="AG34" s="62">
        <f t="shared" si="20"/>
        <v>-23476</v>
      </c>
      <c r="AH34" s="241">
        <f t="shared" si="21"/>
        <v>-0.15259712824112895</v>
      </c>
      <c r="AI34" s="520">
        <v>105866</v>
      </c>
      <c r="AJ34" s="245">
        <v>143349</v>
      </c>
      <c r="AK34" s="136">
        <v>109217</v>
      </c>
      <c r="AL34" s="245"/>
      <c r="AM34" s="202">
        <f t="shared" si="22"/>
        <v>109217</v>
      </c>
      <c r="AN34" s="245">
        <v>87413</v>
      </c>
      <c r="AO34" s="245">
        <v>121453</v>
      </c>
      <c r="AP34" s="270">
        <v>14702</v>
      </c>
      <c r="AQ34" s="270">
        <v>0</v>
      </c>
      <c r="AR34" s="78">
        <f t="shared" si="23"/>
        <v>14702</v>
      </c>
      <c r="AS34" s="52">
        <f t="shared" si="24"/>
        <v>118809.95961000001</v>
      </c>
      <c r="AT34" s="78">
        <f t="shared" si="25"/>
        <v>-11557.040389999995</v>
      </c>
      <c r="AU34" s="260">
        <f t="shared" si="26"/>
        <v>-8.8650044796612593E-2</v>
      </c>
      <c r="AV34" s="78">
        <f t="shared" si="41"/>
        <v>-11557.040389999995</v>
      </c>
      <c r="AW34" s="260">
        <f t="shared" si="42"/>
        <v>-8.8650044796612593E-2</v>
      </c>
      <c r="AX34" s="155">
        <v>121617</v>
      </c>
      <c r="AY34" s="62">
        <f t="shared" si="27"/>
        <v>-8750</v>
      </c>
      <c r="AZ34" s="241">
        <f t="shared" si="28"/>
        <v>-6.7118212431060004E-2</v>
      </c>
      <c r="BA34" s="616">
        <f>87824.93902+16328.78</f>
        <v>104153.71902</v>
      </c>
      <c r="BB34" s="616">
        <f>87779.17961+16328.78</f>
        <v>104107.95961000001</v>
      </c>
      <c r="BC34" s="616">
        <f t="shared" si="29"/>
        <v>45.759409999998752</v>
      </c>
      <c r="BD34" s="31">
        <f t="shared" si="30"/>
        <v>4.3934494543792385E-4</v>
      </c>
      <c r="BE34" s="155">
        <f>94642+24932</f>
        <v>119574</v>
      </c>
      <c r="BF34" s="62">
        <f t="shared" si="38"/>
        <v>-2043</v>
      </c>
      <c r="BG34" s="241">
        <f t="shared" si="39"/>
        <v>-1.6798638348257233E-2</v>
      </c>
      <c r="BH34" s="78">
        <v>17211</v>
      </c>
      <c r="BI34" s="78"/>
      <c r="BJ34" s="78"/>
      <c r="BK34" s="78">
        <v>17</v>
      </c>
      <c r="BL34" s="487">
        <f>BE34+BH34+BI34+BJ34+BK34</f>
        <v>136802</v>
      </c>
      <c r="BM34" s="487">
        <f t="shared" si="32"/>
        <v>17992.040389999995</v>
      </c>
      <c r="BN34" s="487">
        <f>128292-2200</f>
        <v>126092</v>
      </c>
      <c r="BO34" s="681">
        <f>129445-2200</f>
        <v>127245</v>
      </c>
      <c r="BP34" s="39">
        <f t="shared" si="33"/>
        <v>7671</v>
      </c>
      <c r="BQ34" s="579">
        <f t="shared" si="8"/>
        <v>0.15143545582424084</v>
      </c>
      <c r="BR34" s="99">
        <f t="shared" si="34"/>
        <v>6.4152742234934015E-2</v>
      </c>
      <c r="BS34" s="646">
        <v>19082.194</v>
      </c>
      <c r="BV34" s="536">
        <v>59.506</v>
      </c>
      <c r="BW34" s="280">
        <f t="shared" si="40"/>
        <v>145233.69999999998</v>
      </c>
      <c r="BX34" s="39">
        <f t="shared" si="35"/>
        <v>8431.6999999999825</v>
      </c>
      <c r="BY34" s="51">
        <f t="shared" si="10"/>
        <v>6.1634332831391227E-2</v>
      </c>
    </row>
    <row r="35" spans="1:77" s="63" customFormat="1" ht="18" customHeight="1">
      <c r="A35" s="103" t="s">
        <v>214</v>
      </c>
      <c r="B35" s="324" t="s">
        <v>78</v>
      </c>
      <c r="C35" s="324" t="s">
        <v>78</v>
      </c>
      <c r="D35" s="324" t="s">
        <v>78</v>
      </c>
      <c r="E35" s="324" t="s">
        <v>78</v>
      </c>
      <c r="F35" s="324" t="s">
        <v>78</v>
      </c>
      <c r="G35" s="324" t="s">
        <v>78</v>
      </c>
      <c r="H35" s="324" t="s">
        <v>78</v>
      </c>
      <c r="I35" s="325" t="s">
        <v>78</v>
      </c>
      <c r="J35" s="325" t="s">
        <v>78</v>
      </c>
      <c r="K35" s="325" t="s">
        <v>78</v>
      </c>
      <c r="L35" s="69"/>
      <c r="M35" s="69"/>
      <c r="N35" s="72"/>
      <c r="O35" s="69"/>
      <c r="P35" s="69"/>
      <c r="Q35" s="72"/>
      <c r="R35" s="69"/>
      <c r="S35" s="69"/>
      <c r="T35" s="72"/>
      <c r="U35" s="69"/>
      <c r="V35" s="69"/>
      <c r="W35" s="72"/>
      <c r="X35" s="176"/>
      <c r="Y35" s="69"/>
      <c r="Z35" s="96"/>
      <c r="AA35" s="205">
        <v>0</v>
      </c>
      <c r="AB35" s="173"/>
      <c r="AC35" s="131"/>
      <c r="AE35" s="63">
        <v>1000</v>
      </c>
      <c r="AF35" s="52"/>
      <c r="AG35" s="52">
        <f t="shared" si="20"/>
        <v>0</v>
      </c>
      <c r="AH35" s="58" t="e">
        <f t="shared" si="21"/>
        <v>#DIV/0!</v>
      </c>
      <c r="AI35" s="246">
        <v>1000</v>
      </c>
      <c r="AJ35" s="245">
        <v>1000</v>
      </c>
      <c r="AM35" s="256">
        <f t="shared" si="22"/>
        <v>0</v>
      </c>
      <c r="AN35" s="245">
        <v>1000</v>
      </c>
      <c r="AO35" s="245">
        <v>1000</v>
      </c>
      <c r="AP35" s="270">
        <v>0</v>
      </c>
      <c r="AQ35" s="270">
        <v>0</v>
      </c>
      <c r="AR35" s="65">
        <f t="shared" si="23"/>
        <v>0</v>
      </c>
      <c r="AS35" s="52">
        <f t="shared" si="24"/>
        <v>196.37821</v>
      </c>
      <c r="AT35" s="65">
        <f t="shared" si="25"/>
        <v>196.37821</v>
      </c>
      <c r="AU35" s="99" t="e">
        <f t="shared" si="26"/>
        <v>#DIV/0!</v>
      </c>
      <c r="AV35" s="65">
        <f t="shared" si="41"/>
        <v>196.37821</v>
      </c>
      <c r="AW35" s="99" t="e">
        <f t="shared" si="42"/>
        <v>#DIV/0!</v>
      </c>
      <c r="AX35" s="69">
        <v>3182</v>
      </c>
      <c r="AY35" s="52">
        <f t="shared" si="27"/>
        <v>3182</v>
      </c>
      <c r="AZ35" s="58" t="e">
        <f t="shared" si="28"/>
        <v>#DIV/0!</v>
      </c>
      <c r="BA35" s="616">
        <f>2500+682</f>
        <v>3182</v>
      </c>
      <c r="BB35" s="616">
        <v>196.37821</v>
      </c>
      <c r="BC35" s="616">
        <f t="shared" si="29"/>
        <v>2985.6217900000001</v>
      </c>
      <c r="BD35" s="31">
        <f t="shared" si="30"/>
        <v>0.93828466059082338</v>
      </c>
      <c r="BE35" s="69">
        <f>2584+598</f>
        <v>3182</v>
      </c>
      <c r="BF35" s="52">
        <f t="shared" si="38"/>
        <v>0</v>
      </c>
      <c r="BG35" s="58">
        <f t="shared" si="39"/>
        <v>0</v>
      </c>
      <c r="BH35" s="65"/>
      <c r="BI35" s="65"/>
      <c r="BJ35" s="65"/>
      <c r="BK35" s="65"/>
      <c r="BL35" s="39">
        <f t="shared" si="31"/>
        <v>3182</v>
      </c>
      <c r="BM35" s="39">
        <f t="shared" si="32"/>
        <v>2985.6217900000001</v>
      </c>
      <c r="BN35" s="39">
        <v>2496</v>
      </c>
      <c r="BO35" s="681">
        <v>2430</v>
      </c>
      <c r="BP35" s="39">
        <f t="shared" si="33"/>
        <v>-752</v>
      </c>
      <c r="BQ35" s="51">
        <f t="shared" si="8"/>
        <v>15.203427050282208</v>
      </c>
      <c r="BR35" s="99">
        <f t="shared" si="34"/>
        <v>-0.23632935260842239</v>
      </c>
      <c r="BS35" s="40"/>
      <c r="BV35" s="40"/>
      <c r="BW35" s="280">
        <f t="shared" si="40"/>
        <v>2496</v>
      </c>
      <c r="BX35" s="39">
        <f t="shared" si="35"/>
        <v>-686</v>
      </c>
      <c r="BY35" s="51">
        <f t="shared" si="10"/>
        <v>-0.21558768070395978</v>
      </c>
    </row>
    <row r="36" spans="1:77" s="63" customFormat="1" ht="18" customHeight="1">
      <c r="A36" s="268" t="s">
        <v>358</v>
      </c>
      <c r="B36" s="324" t="s">
        <v>78</v>
      </c>
      <c r="C36" s="324" t="s">
        <v>78</v>
      </c>
      <c r="D36" s="324" t="s">
        <v>78</v>
      </c>
      <c r="E36" s="324" t="s">
        <v>78</v>
      </c>
      <c r="F36" s="325" t="s">
        <v>78</v>
      </c>
      <c r="G36" s="324" t="s">
        <v>78</v>
      </c>
      <c r="H36" s="324" t="s">
        <v>78</v>
      </c>
      <c r="I36" s="325" t="s">
        <v>78</v>
      </c>
      <c r="J36" s="325" t="s">
        <v>78</v>
      </c>
      <c r="K36" s="325" t="s">
        <v>78</v>
      </c>
      <c r="L36" s="69"/>
      <c r="M36" s="69"/>
      <c r="N36" s="72"/>
      <c r="O36" s="69"/>
      <c r="P36" s="69"/>
      <c r="Q36" s="72"/>
      <c r="R36" s="69"/>
      <c r="S36" s="69"/>
      <c r="T36" s="72"/>
      <c r="U36" s="69"/>
      <c r="V36" s="69"/>
      <c r="W36" s="72"/>
      <c r="X36" s="176"/>
      <c r="Y36" s="69"/>
      <c r="Z36" s="96"/>
      <c r="AA36" s="205"/>
      <c r="AB36" s="173"/>
      <c r="AC36" s="131"/>
      <c r="AF36" s="52"/>
      <c r="AG36" s="52"/>
      <c r="AH36" s="58"/>
      <c r="AI36" s="246"/>
      <c r="AJ36" s="245"/>
      <c r="AM36" s="256"/>
      <c r="AN36" s="245"/>
      <c r="AO36" s="245"/>
      <c r="AP36" s="270"/>
      <c r="AQ36" s="270"/>
      <c r="AR36" s="65">
        <f t="shared" si="23"/>
        <v>0</v>
      </c>
      <c r="AS36" s="52">
        <f t="shared" si="24"/>
        <v>123626.55533999999</v>
      </c>
      <c r="AT36" s="65">
        <f t="shared" si="25"/>
        <v>123626.55533999999</v>
      </c>
      <c r="AU36" s="99" t="e">
        <f t="shared" si="26"/>
        <v>#DIV/0!</v>
      </c>
      <c r="AV36" s="65"/>
      <c r="AW36" s="99"/>
      <c r="AX36" s="616"/>
      <c r="AY36" s="52">
        <f t="shared" si="27"/>
        <v>0</v>
      </c>
      <c r="AZ36" s="58" t="e">
        <f t="shared" si="28"/>
        <v>#DIV/0!</v>
      </c>
      <c r="BA36" s="616">
        <f>123657.12571+1565.217</f>
        <v>125222.34271</v>
      </c>
      <c r="BB36" s="616">
        <f>122657.12852+969.42682</f>
        <v>123626.55533999999</v>
      </c>
      <c r="BC36" s="616">
        <f t="shared" si="29"/>
        <v>1595.7873700000055</v>
      </c>
      <c r="BD36" s="31">
        <f t="shared" si="30"/>
        <v>1.2743631331795626E-2</v>
      </c>
      <c r="BE36" s="69"/>
      <c r="BF36" s="52">
        <f t="shared" si="38"/>
        <v>0</v>
      </c>
      <c r="BG36" s="58" t="e">
        <f t="shared" si="39"/>
        <v>#DIV/0!</v>
      </c>
      <c r="BH36" s="65"/>
      <c r="BI36" s="65"/>
      <c r="BJ36" s="65"/>
      <c r="BK36" s="65"/>
      <c r="BL36" s="39">
        <f t="shared" si="31"/>
        <v>0</v>
      </c>
      <c r="BM36" s="39">
        <f t="shared" si="32"/>
        <v>-123626.55533999999</v>
      </c>
      <c r="BN36" s="39"/>
      <c r="BO36" s="681">
        <v>0</v>
      </c>
      <c r="BP36" s="39">
        <f t="shared" si="33"/>
        <v>0</v>
      </c>
      <c r="BQ36" s="51">
        <f t="shared" si="8"/>
        <v>-1</v>
      </c>
      <c r="BR36" s="99" t="e">
        <f t="shared" si="34"/>
        <v>#DIV/0!</v>
      </c>
      <c r="BS36" s="40"/>
      <c r="BV36" s="40"/>
      <c r="BW36" s="280">
        <f t="shared" si="40"/>
        <v>0</v>
      </c>
      <c r="BX36" s="39">
        <f t="shared" si="35"/>
        <v>0</v>
      </c>
      <c r="BY36" s="51" t="e">
        <f t="shared" si="10"/>
        <v>#DIV/0!</v>
      </c>
    </row>
    <row r="37" spans="1:77" s="63" customFormat="1" ht="18" customHeight="1">
      <c r="A37" s="268" t="s">
        <v>416</v>
      </c>
      <c r="B37" s="324" t="s">
        <v>78</v>
      </c>
      <c r="C37" s="324" t="s">
        <v>78</v>
      </c>
      <c r="D37" s="324" t="s">
        <v>78</v>
      </c>
      <c r="E37" s="324" t="s">
        <v>78</v>
      </c>
      <c r="F37" s="325" t="s">
        <v>78</v>
      </c>
      <c r="G37" s="324" t="s">
        <v>78</v>
      </c>
      <c r="H37" s="324" t="s">
        <v>78</v>
      </c>
      <c r="I37" s="325" t="s">
        <v>78</v>
      </c>
      <c r="J37" s="325" t="s">
        <v>78</v>
      </c>
      <c r="K37" s="325" t="s">
        <v>78</v>
      </c>
      <c r="L37" s="69"/>
      <c r="M37" s="69"/>
      <c r="N37" s="72"/>
      <c r="O37" s="69"/>
      <c r="P37" s="69"/>
      <c r="Q37" s="72"/>
      <c r="R37" s="69"/>
      <c r="S37" s="69"/>
      <c r="T37" s="72"/>
      <c r="U37" s="69"/>
      <c r="V37" s="69"/>
      <c r="W37" s="72"/>
      <c r="X37" s="176"/>
      <c r="Y37" s="69"/>
      <c r="Z37" s="96"/>
      <c r="AA37" s="205"/>
      <c r="AB37" s="173"/>
      <c r="AC37" s="131"/>
      <c r="AF37" s="52"/>
      <c r="AG37" s="52">
        <f t="shared" si="20"/>
        <v>0</v>
      </c>
      <c r="AH37" s="58" t="e">
        <f t="shared" si="21"/>
        <v>#DIV/0!</v>
      </c>
      <c r="AI37" s="246"/>
      <c r="AJ37" s="245"/>
      <c r="AM37" s="256"/>
      <c r="AN37" s="245">
        <v>123860</v>
      </c>
      <c r="AO37" s="245">
        <v>124425</v>
      </c>
      <c r="AP37" s="270"/>
      <c r="AQ37" s="270"/>
      <c r="AR37" s="65">
        <f t="shared" si="23"/>
        <v>0</v>
      </c>
      <c r="AS37" s="52">
        <f t="shared" si="24"/>
        <v>2951</v>
      </c>
      <c r="AT37" s="65">
        <f t="shared" si="25"/>
        <v>2951</v>
      </c>
      <c r="AU37" s="99" t="e">
        <f t="shared" si="26"/>
        <v>#DIV/0!</v>
      </c>
      <c r="AV37" s="65"/>
      <c r="AW37" s="99"/>
      <c r="AX37" s="69">
        <v>2951</v>
      </c>
      <c r="AY37" s="52">
        <f t="shared" si="27"/>
        <v>2951</v>
      </c>
      <c r="AZ37" s="58" t="e">
        <f t="shared" si="28"/>
        <v>#DIV/0!</v>
      </c>
      <c r="BA37" s="616">
        <v>2951</v>
      </c>
      <c r="BB37" s="616">
        <v>2951</v>
      </c>
      <c r="BC37" s="616">
        <f t="shared" si="29"/>
        <v>0</v>
      </c>
      <c r="BD37" s="31">
        <f t="shared" si="30"/>
        <v>0</v>
      </c>
      <c r="BE37" s="155">
        <v>0</v>
      </c>
      <c r="BF37" s="52">
        <f t="shared" si="38"/>
        <v>-2951</v>
      </c>
      <c r="BG37" s="58">
        <f t="shared" si="39"/>
        <v>-1</v>
      </c>
      <c r="BH37" s="65"/>
      <c r="BI37" s="65"/>
      <c r="BJ37" s="65"/>
      <c r="BK37" s="65"/>
      <c r="BL37" s="39">
        <f t="shared" si="31"/>
        <v>0</v>
      </c>
      <c r="BM37" s="39">
        <f t="shared" si="32"/>
        <v>-2951</v>
      </c>
      <c r="BN37" s="39">
        <v>2951</v>
      </c>
      <c r="BO37" s="681">
        <v>0</v>
      </c>
      <c r="BP37" s="39">
        <f t="shared" si="33"/>
        <v>0</v>
      </c>
      <c r="BQ37" s="51">
        <f t="shared" si="8"/>
        <v>-1</v>
      </c>
      <c r="BR37" s="99" t="e">
        <f t="shared" si="34"/>
        <v>#DIV/0!</v>
      </c>
      <c r="BS37" s="40"/>
      <c r="BV37" s="40"/>
      <c r="BW37" s="280">
        <f t="shared" si="40"/>
        <v>2951</v>
      </c>
      <c r="BX37" s="39">
        <f t="shared" si="35"/>
        <v>2951</v>
      </c>
      <c r="BY37" s="51" t="e">
        <f t="shared" si="10"/>
        <v>#DIV/0!</v>
      </c>
    </row>
    <row r="38" spans="1:77" s="73" customFormat="1" ht="18" customHeight="1">
      <c r="A38" s="341" t="s">
        <v>162</v>
      </c>
      <c r="B38" s="322" t="s">
        <v>78</v>
      </c>
      <c r="C38" s="324" t="s">
        <v>78</v>
      </c>
      <c r="D38" s="324" t="s">
        <v>78</v>
      </c>
      <c r="E38" s="324" t="s">
        <v>78</v>
      </c>
      <c r="F38" s="330" t="s">
        <v>78</v>
      </c>
      <c r="G38" s="324" t="s">
        <v>78</v>
      </c>
      <c r="H38" s="324" t="s">
        <v>78</v>
      </c>
      <c r="I38" s="325" t="s">
        <v>78</v>
      </c>
      <c r="J38" s="325" t="s">
        <v>78</v>
      </c>
      <c r="K38" s="325" t="s">
        <v>78</v>
      </c>
      <c r="L38" s="342"/>
      <c r="M38" s="342"/>
      <c r="N38" s="343"/>
      <c r="O38" s="342"/>
      <c r="P38" s="342"/>
      <c r="Q38" s="343"/>
      <c r="R38" s="342"/>
      <c r="S38" s="342"/>
      <c r="T38" s="343"/>
      <c r="U38" s="342"/>
      <c r="V38" s="342"/>
      <c r="W38" s="343"/>
      <c r="X38" s="344">
        <v>10000</v>
      </c>
      <c r="Y38" s="342">
        <f>X38-U38</f>
        <v>10000</v>
      </c>
      <c r="Z38" s="345" t="s">
        <v>78</v>
      </c>
      <c r="AA38" s="346"/>
      <c r="AB38" s="347">
        <f>AA38-X38</f>
        <v>-10000</v>
      </c>
      <c r="AC38" s="348">
        <f>AB38/X38</f>
        <v>-1</v>
      </c>
      <c r="AF38" s="342"/>
      <c r="AG38" s="52">
        <f>AF38-AA38</f>
        <v>0</v>
      </c>
      <c r="AH38" s="58" t="e">
        <f>AG38/AA38</f>
        <v>#DIV/0!</v>
      </c>
      <c r="AJ38" s="73">
        <v>0</v>
      </c>
      <c r="AM38" s="265">
        <f>+AL38+AK38</f>
        <v>0</v>
      </c>
      <c r="AP38" s="533"/>
      <c r="AQ38" s="533"/>
      <c r="AR38" s="65">
        <f t="shared" si="23"/>
        <v>0</v>
      </c>
      <c r="AS38" s="52">
        <f t="shared" si="24"/>
        <v>0</v>
      </c>
      <c r="AT38" s="65">
        <f t="shared" si="25"/>
        <v>0</v>
      </c>
      <c r="AU38" s="99" t="e">
        <f t="shared" si="26"/>
        <v>#DIV/0!</v>
      </c>
      <c r="AV38" s="266"/>
      <c r="AW38" s="267"/>
      <c r="AX38" s="342"/>
      <c r="AY38" s="52">
        <f t="shared" si="27"/>
        <v>0</v>
      </c>
      <c r="AZ38" s="58" t="e">
        <f t="shared" si="28"/>
        <v>#DIV/0!</v>
      </c>
      <c r="BA38" s="58"/>
      <c r="BB38" s="58"/>
      <c r="BC38" s="616">
        <f t="shared" si="29"/>
        <v>0</v>
      </c>
      <c r="BD38" s="31"/>
      <c r="BE38" s="342"/>
      <c r="BF38" s="52">
        <f t="shared" si="38"/>
        <v>0</v>
      </c>
      <c r="BG38" s="58" t="e">
        <f t="shared" si="39"/>
        <v>#DIV/0!</v>
      </c>
      <c r="BH38" s="65"/>
      <c r="BI38" s="65"/>
      <c r="BJ38" s="65"/>
      <c r="BK38" s="65"/>
      <c r="BL38" s="39">
        <f t="shared" si="31"/>
        <v>0</v>
      </c>
      <c r="BM38" s="39">
        <f t="shared" si="32"/>
        <v>0</v>
      </c>
      <c r="BN38" s="39"/>
      <c r="BO38" s="681"/>
      <c r="BP38" s="39">
        <f t="shared" si="33"/>
        <v>0</v>
      </c>
      <c r="BQ38" s="51" t="e">
        <f t="shared" si="8"/>
        <v>#DIV/0!</v>
      </c>
      <c r="BR38" s="99" t="e">
        <f t="shared" si="34"/>
        <v>#DIV/0!</v>
      </c>
      <c r="BS38" s="647"/>
      <c r="BV38" s="647"/>
      <c r="BW38" s="280">
        <f t="shared" si="40"/>
        <v>0</v>
      </c>
      <c r="BX38" s="39">
        <f t="shared" si="35"/>
        <v>0</v>
      </c>
      <c r="BY38" s="51" t="e">
        <f t="shared" si="10"/>
        <v>#DIV/0!</v>
      </c>
    </row>
    <row r="39" spans="1:77" s="73" customFormat="1" ht="18" customHeight="1">
      <c r="A39" s="618" t="s">
        <v>418</v>
      </c>
      <c r="B39" s="322"/>
      <c r="C39" s="324"/>
      <c r="D39" s="324"/>
      <c r="E39" s="324"/>
      <c r="F39" s="330"/>
      <c r="G39" s="324"/>
      <c r="H39" s="324"/>
      <c r="I39" s="325"/>
      <c r="J39" s="325"/>
      <c r="K39" s="325"/>
      <c r="L39" s="342"/>
      <c r="M39" s="342"/>
      <c r="N39" s="343"/>
      <c r="O39" s="342"/>
      <c r="P39" s="342"/>
      <c r="Q39" s="343"/>
      <c r="R39" s="342"/>
      <c r="S39" s="342"/>
      <c r="T39" s="343"/>
      <c r="U39" s="342"/>
      <c r="V39" s="342"/>
      <c r="W39" s="343"/>
      <c r="X39" s="344"/>
      <c r="Y39" s="342"/>
      <c r="Z39" s="345"/>
      <c r="AA39" s="346"/>
      <c r="AB39" s="347"/>
      <c r="AC39" s="348"/>
      <c r="AF39" s="342"/>
      <c r="AG39" s="52"/>
      <c r="AH39" s="58"/>
      <c r="AM39" s="265"/>
      <c r="AP39" s="533"/>
      <c r="AQ39" s="533"/>
      <c r="AR39" s="65"/>
      <c r="AS39" s="52">
        <f t="shared" si="24"/>
        <v>19599.482800000002</v>
      </c>
      <c r="AT39" s="65"/>
      <c r="AU39" s="99"/>
      <c r="AV39" s="266"/>
      <c r="AW39" s="267"/>
      <c r="AX39" s="342"/>
      <c r="AY39" s="52"/>
      <c r="AZ39" s="58"/>
      <c r="BA39" s="617">
        <f>7735.05771+13533.70123</f>
        <v>21268.75894</v>
      </c>
      <c r="BB39" s="617">
        <f>7136.02603+12463.45677</f>
        <v>19599.482800000002</v>
      </c>
      <c r="BC39" s="616">
        <f t="shared" si="29"/>
        <v>1669.2761399999981</v>
      </c>
      <c r="BD39" s="31">
        <f t="shared" si="30"/>
        <v>7.8484886904266082E-2</v>
      </c>
      <c r="BE39" s="342"/>
      <c r="BF39" s="52"/>
      <c r="BG39" s="58"/>
      <c r="BH39" s="65"/>
      <c r="BI39" s="65"/>
      <c r="BJ39" s="65"/>
      <c r="BK39" s="65"/>
      <c r="BL39" s="39"/>
      <c r="BM39" s="39"/>
      <c r="BN39" s="39"/>
      <c r="BO39" s="534"/>
      <c r="BP39" s="39">
        <f t="shared" si="33"/>
        <v>0</v>
      </c>
      <c r="BQ39" s="51"/>
      <c r="BR39" s="99" t="e">
        <f t="shared" si="34"/>
        <v>#DIV/0!</v>
      </c>
      <c r="BS39" s="647"/>
      <c r="BV39" s="647">
        <v>717.851</v>
      </c>
      <c r="BW39" s="280">
        <f t="shared" si="40"/>
        <v>717.851</v>
      </c>
      <c r="BX39" s="39">
        <f t="shared" si="35"/>
        <v>717.851</v>
      </c>
      <c r="BY39" s="51" t="e">
        <f t="shared" si="10"/>
        <v>#DIV/0!</v>
      </c>
    </row>
    <row r="40" spans="1:77" s="54" customFormat="1" ht="18" customHeight="1" thickBot="1">
      <c r="A40" s="254" t="s">
        <v>444</v>
      </c>
      <c r="B40" s="328" t="s">
        <v>78</v>
      </c>
      <c r="C40" s="328" t="s">
        <v>78</v>
      </c>
      <c r="D40" s="328" t="s">
        <v>78</v>
      </c>
      <c r="E40" s="328" t="s">
        <v>78</v>
      </c>
      <c r="F40" s="329" t="s">
        <v>78</v>
      </c>
      <c r="G40" s="329" t="s">
        <v>78</v>
      </c>
      <c r="H40" s="329" t="s">
        <v>78</v>
      </c>
      <c r="I40" s="328" t="s">
        <v>78</v>
      </c>
      <c r="J40" s="329" t="s">
        <v>78</v>
      </c>
      <c r="K40" s="329" t="s">
        <v>78</v>
      </c>
      <c r="N40" s="55"/>
      <c r="X40" s="177"/>
      <c r="Y40" s="161"/>
      <c r="Z40" s="126"/>
      <c r="AA40" s="206"/>
      <c r="AB40" s="75"/>
      <c r="AC40" s="128"/>
      <c r="AF40" s="75"/>
      <c r="AG40" s="75"/>
      <c r="AP40" s="94"/>
      <c r="AQ40" s="94"/>
      <c r="AR40" s="94"/>
      <c r="AS40" s="52">
        <f t="shared" si="24"/>
        <v>0</v>
      </c>
      <c r="AT40" s="94">
        <f t="shared" si="25"/>
        <v>0</v>
      </c>
      <c r="AU40" s="99" t="e">
        <f t="shared" si="26"/>
        <v>#DIV/0!</v>
      </c>
      <c r="AX40" s="75">
        <v>263</v>
      </c>
      <c r="AY40" s="75">
        <f t="shared" si="27"/>
        <v>263</v>
      </c>
      <c r="AZ40" s="77" t="e">
        <f t="shared" si="28"/>
        <v>#DIV/0!</v>
      </c>
      <c r="BA40" s="616">
        <v>0</v>
      </c>
      <c r="BB40" s="616">
        <v>0</v>
      </c>
      <c r="BC40" s="616">
        <f t="shared" si="29"/>
        <v>0</v>
      </c>
      <c r="BD40" s="31"/>
      <c r="BE40" s="75">
        <v>350</v>
      </c>
      <c r="BF40" s="75">
        <f>BE40-AX40</f>
        <v>87</v>
      </c>
      <c r="BG40" s="77">
        <f>BF40/AX40</f>
        <v>0.33079847908745247</v>
      </c>
      <c r="BH40" s="94"/>
      <c r="BI40" s="94"/>
      <c r="BJ40" s="94"/>
      <c r="BK40" s="94"/>
      <c r="BL40" s="102">
        <f t="shared" si="31"/>
        <v>350</v>
      </c>
      <c r="BM40" s="102">
        <f>BL40-AS40</f>
        <v>350</v>
      </c>
      <c r="BN40" s="39">
        <v>835</v>
      </c>
      <c r="BO40" s="534">
        <v>1039</v>
      </c>
      <c r="BP40" s="39">
        <f t="shared" si="33"/>
        <v>689</v>
      </c>
      <c r="BQ40" s="55" t="e">
        <f>BM40/AS40</f>
        <v>#DIV/0!</v>
      </c>
      <c r="BR40" s="99">
        <f t="shared" si="34"/>
        <v>1.9685714285714286</v>
      </c>
      <c r="BS40" s="102"/>
      <c r="BV40" s="102"/>
      <c r="BW40" s="280">
        <f t="shared" si="40"/>
        <v>835</v>
      </c>
      <c r="BX40" s="39">
        <f t="shared" si="35"/>
        <v>485</v>
      </c>
      <c r="BY40" s="51">
        <f t="shared" si="10"/>
        <v>1.3857142857142857</v>
      </c>
    </row>
    <row r="41" spans="1:77" s="20" customFormat="1" ht="18" customHeight="1">
      <c r="A41" s="85" t="s">
        <v>55</v>
      </c>
      <c r="B41" s="136">
        <f>SUM(B8:B40)</f>
        <v>204710</v>
      </c>
      <c r="C41" s="136">
        <f>SUM(C8:C40)</f>
        <v>220083</v>
      </c>
      <c r="D41" s="136">
        <f>C41-B41</f>
        <v>15373</v>
      </c>
      <c r="E41" s="356">
        <f t="shared" si="12"/>
        <v>7.5096477944409171E-2</v>
      </c>
      <c r="F41" s="136">
        <f>SUM(F7:F40)</f>
        <v>234498</v>
      </c>
      <c r="G41" s="10">
        <f t="shared" si="13"/>
        <v>14415</v>
      </c>
      <c r="H41" s="14">
        <f t="shared" si="14"/>
        <v>6.1471739631041626E-2</v>
      </c>
      <c r="I41" s="136">
        <f>SUM(I7:I40)</f>
        <v>206864</v>
      </c>
      <c r="J41" s="136">
        <f>I41-F41</f>
        <v>-27634</v>
      </c>
      <c r="K41" s="264">
        <f>(I41-F41)/F41</f>
        <v>-0.11784322254347585</v>
      </c>
      <c r="L41" s="136">
        <f>SUM(L7:L40)</f>
        <v>231364</v>
      </c>
      <c r="M41" s="136">
        <v>21501</v>
      </c>
      <c r="N41" s="137">
        <v>0.10245255237940942</v>
      </c>
      <c r="O41" s="136">
        <f>SUM(O8:O40)</f>
        <v>282412</v>
      </c>
      <c r="P41" s="136">
        <f>O41-L41</f>
        <v>51048</v>
      </c>
      <c r="Q41" s="137">
        <f>P41/L41</f>
        <v>0.220639338877267</v>
      </c>
      <c r="R41" s="136">
        <f>SUM(R7:R40)</f>
        <v>333607</v>
      </c>
      <c r="S41" s="136">
        <f t="shared" si="1"/>
        <v>51195</v>
      </c>
      <c r="T41" s="137">
        <f>S41/O41</f>
        <v>0.18127770774612978</v>
      </c>
      <c r="U41" s="136">
        <f>SUM(U7:U40)</f>
        <v>366258</v>
      </c>
      <c r="V41" s="136">
        <f t="shared" ref="V41" si="46">SUM(V7:V34)</f>
        <v>32651</v>
      </c>
      <c r="W41" s="226">
        <f>V41/R41</f>
        <v>9.7872646557176562E-2</v>
      </c>
      <c r="X41" s="182">
        <f>SUM(X7:X40)</f>
        <v>382069</v>
      </c>
      <c r="Y41" s="136">
        <f>X41-U41</f>
        <v>15811</v>
      </c>
      <c r="Z41" s="98">
        <f>Y41/U41</f>
        <v>4.3169022929191989E-2</v>
      </c>
      <c r="AA41" s="136">
        <f>SUM(AA7:AA40)</f>
        <v>405846</v>
      </c>
      <c r="AB41" s="171">
        <f>AA41-X41</f>
        <v>23777</v>
      </c>
      <c r="AC41" s="140">
        <f>AB41/X41</f>
        <v>6.2232214599980629E-2</v>
      </c>
      <c r="AD41" s="136">
        <f>SUM(AD7:AD38)</f>
        <v>311154</v>
      </c>
      <c r="AE41" s="136">
        <f>SUM(AE7:AE38)</f>
        <v>62775</v>
      </c>
      <c r="AF41" s="136">
        <f>SUM(AF7:AF40)</f>
        <v>349066</v>
      </c>
      <c r="AG41" s="52">
        <f>AF41-AA41</f>
        <v>-56780</v>
      </c>
      <c r="AH41" s="58">
        <f>AG41/AA41</f>
        <v>-0.13990528427038829</v>
      </c>
      <c r="AI41" s="136">
        <f>SUM(AI7:AI38)</f>
        <v>306863</v>
      </c>
      <c r="AJ41" s="136">
        <f>SUM(AJ7:AJ38)</f>
        <v>368305</v>
      </c>
      <c r="AK41" s="136">
        <f>SUM(AK7:AK38)</f>
        <v>321065</v>
      </c>
      <c r="AM41" s="256">
        <f t="shared" si="22"/>
        <v>321065</v>
      </c>
      <c r="AN41" s="20">
        <f t="shared" ref="AN41:AQ41" si="47">SUM(AN7:AN38)</f>
        <v>413423</v>
      </c>
      <c r="AO41" s="20">
        <f t="shared" si="47"/>
        <v>477608</v>
      </c>
      <c r="AP41" s="139">
        <f t="shared" si="47"/>
        <v>34814</v>
      </c>
      <c r="AQ41" s="139">
        <f t="shared" si="47"/>
        <v>2383</v>
      </c>
      <c r="AR41" s="139">
        <f>SUM(AR7:AR40)</f>
        <v>37197</v>
      </c>
      <c r="AS41" s="541">
        <f>BB41+AR41</f>
        <v>476840.01740999997</v>
      </c>
      <c r="AT41" s="65">
        <f t="shared" si="25"/>
        <v>127774.01740999997</v>
      </c>
      <c r="AU41" s="542">
        <f t="shared" si="26"/>
        <v>0.36604543957303193</v>
      </c>
      <c r="AV41" s="65">
        <f>+AS41-AF41</f>
        <v>127774.01740999997</v>
      </c>
      <c r="AW41" s="99">
        <f>+AV41/AF41</f>
        <v>0.36604543957303193</v>
      </c>
      <c r="AX41" s="136">
        <f>SUM(AX7:AX40)</f>
        <v>343042</v>
      </c>
      <c r="AY41" s="52">
        <f>AX41-AF41</f>
        <v>-6024</v>
      </c>
      <c r="AZ41" s="58">
        <f t="shared" si="28"/>
        <v>-1.7257481393203579E-2</v>
      </c>
      <c r="BA41" s="58"/>
      <c r="BB41" s="65">
        <f>SUM(BB7:BB40)</f>
        <v>439643.01740999997</v>
      </c>
      <c r="BC41" s="58"/>
      <c r="BD41" s="58"/>
      <c r="BE41" s="136">
        <f>SUM(BE7:BE40)</f>
        <v>480445</v>
      </c>
      <c r="BF41" s="52">
        <f>BE41-AX41</f>
        <v>137403</v>
      </c>
      <c r="BG41" s="58">
        <f>BF41/AX41</f>
        <v>0.40054279067869242</v>
      </c>
      <c r="BH41" s="65">
        <f>SUM(BH7:BH40)</f>
        <v>33938</v>
      </c>
      <c r="BI41" s="65"/>
      <c r="BJ41" s="65"/>
      <c r="BK41" s="65">
        <f>SUM(BK7:BK40)</f>
        <v>1047</v>
      </c>
      <c r="BL41" s="39">
        <f t="shared" si="31"/>
        <v>515430</v>
      </c>
      <c r="BM41" s="39">
        <f>BL41-AS41</f>
        <v>38589.982590000029</v>
      </c>
      <c r="BN41" s="30">
        <f>SUM(BN7:BN40)</f>
        <v>541241</v>
      </c>
      <c r="BO41" s="30">
        <f>SUM(BO7:BO40)</f>
        <v>541227</v>
      </c>
      <c r="BP41" s="39">
        <f t="shared" si="33"/>
        <v>60782</v>
      </c>
      <c r="BQ41" s="51">
        <f>BM41/AS41</f>
        <v>8.0928573905363566E-2</v>
      </c>
      <c r="BR41" s="99">
        <f t="shared" si="34"/>
        <v>0.12651187961161006</v>
      </c>
      <c r="BS41" s="138">
        <f>SUM(BS7:BS40)</f>
        <v>47905.705000000002</v>
      </c>
      <c r="BV41" s="138">
        <f>SUM(BV7:BV40)</f>
        <v>2251.38</v>
      </c>
      <c r="BW41" s="658">
        <f t="shared" si="40"/>
        <v>591398.08499999996</v>
      </c>
      <c r="BX41" s="636">
        <f t="shared" si="35"/>
        <v>75968.084999999963</v>
      </c>
      <c r="BY41" s="543">
        <f t="shared" si="10"/>
        <v>0.14738778301612238</v>
      </c>
    </row>
    <row r="42" spans="1:77" s="20" customFormat="1" ht="18" customHeight="1">
      <c r="A42" s="85"/>
      <c r="E42" s="264"/>
      <c r="H42" s="264"/>
      <c r="K42" s="264"/>
      <c r="L42" s="136"/>
      <c r="M42" s="136"/>
      <c r="N42" s="137"/>
      <c r="O42" s="136"/>
      <c r="P42" s="136"/>
      <c r="Q42" s="137"/>
      <c r="R42" s="136"/>
      <c r="S42" s="136"/>
      <c r="T42" s="137"/>
      <c r="U42" s="136"/>
      <c r="V42" s="136"/>
      <c r="W42" s="226"/>
      <c r="X42" s="182"/>
      <c r="Y42" s="136"/>
      <c r="Z42" s="98"/>
      <c r="AA42" s="136"/>
      <c r="AB42" s="171"/>
      <c r="AC42" s="140"/>
      <c r="AD42" s="136"/>
      <c r="AE42" s="136"/>
      <c r="AF42" s="136"/>
      <c r="AG42" s="52"/>
      <c r="AH42" s="58"/>
      <c r="AI42" s="136"/>
      <c r="AJ42" s="136"/>
      <c r="AK42" s="136"/>
      <c r="AM42" s="256"/>
      <c r="AT42" s="65"/>
      <c r="AU42" s="99"/>
      <c r="AV42" s="65"/>
      <c r="AW42" s="99"/>
      <c r="AX42" s="136"/>
      <c r="AY42" s="52"/>
      <c r="AZ42" s="58"/>
      <c r="BA42" s="58"/>
      <c r="BB42" s="58"/>
      <c r="BC42" s="58"/>
      <c r="BD42" s="58"/>
      <c r="BE42" s="136"/>
      <c r="BF42" s="52"/>
      <c r="BG42" s="58"/>
      <c r="BH42" s="65"/>
      <c r="BI42" s="65"/>
      <c r="BJ42" s="65"/>
      <c r="BK42" s="65"/>
      <c r="BL42" s="39"/>
      <c r="BM42" s="39"/>
      <c r="BN42" s="39"/>
      <c r="BO42" s="534"/>
      <c r="BP42" s="39">
        <f t="shared" si="33"/>
        <v>0</v>
      </c>
      <c r="BQ42" s="51"/>
      <c r="BR42" s="99" t="e">
        <f t="shared" si="34"/>
        <v>#DIV/0!</v>
      </c>
      <c r="BS42" s="138"/>
      <c r="BW42" s="280">
        <f t="shared" si="40"/>
        <v>0</v>
      </c>
      <c r="BX42" s="39">
        <f t="shared" si="35"/>
        <v>0</v>
      </c>
      <c r="BY42" s="51" t="e">
        <f t="shared" si="10"/>
        <v>#DIV/0!</v>
      </c>
    </row>
    <row r="43" spans="1:77" s="20" customFormat="1" ht="18" customHeight="1">
      <c r="A43" s="85"/>
      <c r="E43" s="264"/>
      <c r="H43" s="264"/>
      <c r="K43" s="264"/>
      <c r="L43" s="136"/>
      <c r="M43" s="136"/>
      <c r="N43" s="137"/>
      <c r="O43" s="136"/>
      <c r="P43" s="136"/>
      <c r="Q43" s="137"/>
      <c r="R43" s="136"/>
      <c r="S43" s="136"/>
      <c r="T43" s="137"/>
      <c r="U43" s="136"/>
      <c r="V43" s="136"/>
      <c r="W43" s="226"/>
      <c r="X43" s="182"/>
      <c r="Y43" s="136"/>
      <c r="Z43" s="98"/>
      <c r="AA43" s="136"/>
      <c r="AB43" s="171"/>
      <c r="AC43" s="140"/>
      <c r="AD43" s="136"/>
      <c r="AE43" s="136"/>
      <c r="AF43" s="136"/>
      <c r="AG43" s="52"/>
      <c r="AH43" s="58"/>
      <c r="AI43" s="136"/>
      <c r="AJ43" s="136"/>
      <c r="AK43" s="136"/>
      <c r="AM43" s="256"/>
      <c r="AT43" s="65"/>
      <c r="AU43" s="99"/>
      <c r="AV43" s="65">
        <f>AS43-AF41</f>
        <v>-349066</v>
      </c>
      <c r="AW43" s="99">
        <f>AV43/AF41</f>
        <v>-1</v>
      </c>
      <c r="AX43" s="136"/>
      <c r="AY43" s="52"/>
      <c r="AZ43" s="58"/>
      <c r="BA43" s="58"/>
      <c r="BB43" s="58"/>
      <c r="BC43" s="58"/>
      <c r="BD43" s="58"/>
      <c r="BE43" s="136"/>
      <c r="BF43" s="280"/>
      <c r="BG43" s="58"/>
      <c r="BH43" s="65"/>
      <c r="BI43" s="65"/>
      <c r="BJ43" s="65"/>
      <c r="BK43" s="65"/>
      <c r="BL43" s="39"/>
      <c r="BM43" s="39"/>
      <c r="BN43" s="39"/>
      <c r="BO43" s="534"/>
      <c r="BP43" s="39">
        <f t="shared" si="33"/>
        <v>0</v>
      </c>
      <c r="BQ43" s="51"/>
      <c r="BR43" s="99" t="e">
        <f t="shared" si="34"/>
        <v>#DIV/0!</v>
      </c>
      <c r="BS43" s="138"/>
      <c r="BW43" s="280">
        <f t="shared" si="40"/>
        <v>0</v>
      </c>
      <c r="BX43" s="39">
        <f t="shared" si="35"/>
        <v>0</v>
      </c>
      <c r="BY43" s="51" t="e">
        <f t="shared" si="10"/>
        <v>#DIV/0!</v>
      </c>
    </row>
    <row r="44" spans="1:77" s="13" customFormat="1" ht="18" customHeight="1">
      <c r="A44" s="85" t="s">
        <v>441</v>
      </c>
      <c r="E44" s="15"/>
      <c r="H44" s="15"/>
      <c r="K44" s="15"/>
      <c r="L44" s="12"/>
      <c r="M44" s="12"/>
      <c r="N44" s="36"/>
      <c r="O44" s="12"/>
      <c r="P44" s="12"/>
      <c r="Q44" s="36"/>
      <c r="R44" s="12"/>
      <c r="S44" s="12"/>
      <c r="T44" s="36"/>
      <c r="U44" s="12"/>
      <c r="V44" s="12"/>
      <c r="W44" s="12"/>
      <c r="X44" s="178"/>
      <c r="Y44" s="12"/>
      <c r="Z44" s="98"/>
      <c r="AA44" s="136"/>
      <c r="AB44" s="165"/>
      <c r="AC44" s="97"/>
      <c r="AF44" s="12"/>
      <c r="AG44" s="12"/>
      <c r="AX44" s="12"/>
      <c r="AY44" s="52"/>
      <c r="AZ44" s="58"/>
      <c r="BA44" s="58"/>
      <c r="BB44" s="58"/>
      <c r="BC44" s="58"/>
      <c r="BD44" s="58"/>
      <c r="BE44" s="12"/>
      <c r="BF44" s="52"/>
      <c r="BG44" s="58"/>
      <c r="BH44" s="65"/>
      <c r="BI44" s="65"/>
      <c r="BJ44" s="65"/>
      <c r="BK44" s="65"/>
      <c r="BL44" s="39"/>
      <c r="BM44" s="39"/>
      <c r="BN44" s="39"/>
      <c r="BO44" s="534"/>
      <c r="BP44" s="39">
        <f t="shared" si="33"/>
        <v>0</v>
      </c>
      <c r="BQ44" s="51"/>
      <c r="BR44" s="99" t="e">
        <f t="shared" si="34"/>
        <v>#DIV/0!</v>
      </c>
      <c r="BS44" s="30"/>
      <c r="BW44" s="280">
        <f t="shared" si="40"/>
        <v>0</v>
      </c>
      <c r="BX44" s="39">
        <f t="shared" si="35"/>
        <v>0</v>
      </c>
      <c r="BY44" s="51" t="e">
        <f t="shared" si="10"/>
        <v>#DIV/0!</v>
      </c>
    </row>
    <row r="45" spans="1:77" s="13" customFormat="1" ht="18" customHeight="1">
      <c r="A45" s="73" t="s">
        <v>158</v>
      </c>
      <c r="E45" s="15"/>
      <c r="H45" s="15"/>
      <c r="K45" s="15"/>
      <c r="L45" s="12"/>
      <c r="M45" s="12"/>
      <c r="N45" s="36"/>
      <c r="O45" s="12"/>
      <c r="P45" s="12"/>
      <c r="Q45" s="36"/>
      <c r="R45" s="12"/>
      <c r="S45" s="12"/>
      <c r="T45" s="36"/>
      <c r="U45" s="12"/>
      <c r="V45" s="12"/>
      <c r="W45" s="12"/>
      <c r="X45" s="178"/>
      <c r="Y45" s="12"/>
      <c r="Z45" s="98"/>
      <c r="AA45" s="136"/>
      <c r="AB45" s="165"/>
      <c r="AC45" s="97"/>
      <c r="AF45" s="12"/>
      <c r="AG45" s="12"/>
      <c r="AX45" s="12"/>
      <c r="AY45" s="52"/>
      <c r="AZ45" s="58"/>
      <c r="BA45" s="58"/>
      <c r="BB45" s="58"/>
      <c r="BC45" s="58"/>
      <c r="BD45" s="58"/>
      <c r="BE45" s="12"/>
      <c r="BF45" s="52"/>
      <c r="BG45" s="58"/>
      <c r="BH45" s="65"/>
      <c r="BI45" s="65"/>
      <c r="BJ45" s="65"/>
      <c r="BK45" s="65"/>
      <c r="BL45" s="39"/>
      <c r="BM45" s="39"/>
      <c r="BN45" s="39"/>
      <c r="BO45" s="534"/>
      <c r="BP45" s="39">
        <f t="shared" si="33"/>
        <v>0</v>
      </c>
      <c r="BQ45" s="51"/>
      <c r="BR45" s="99" t="e">
        <f t="shared" si="34"/>
        <v>#DIV/0!</v>
      </c>
      <c r="BS45" s="30"/>
      <c r="BW45" s="280">
        <f t="shared" si="40"/>
        <v>0</v>
      </c>
      <c r="BX45" s="39">
        <f t="shared" si="35"/>
        <v>0</v>
      </c>
      <c r="BY45" s="51" t="e">
        <f t="shared" si="10"/>
        <v>#DIV/0!</v>
      </c>
    </row>
    <row r="46" spans="1:77" s="13" customFormat="1" ht="18" customHeight="1">
      <c r="A46" s="73" t="s">
        <v>159</v>
      </c>
      <c r="E46" s="15"/>
      <c r="H46" s="15"/>
      <c r="K46" s="15"/>
      <c r="L46" s="12"/>
      <c r="M46" s="12"/>
      <c r="N46" s="36"/>
      <c r="O46" s="12"/>
      <c r="P46" s="12"/>
      <c r="Q46" s="36"/>
      <c r="R46" s="12"/>
      <c r="S46" s="12"/>
      <c r="T46" s="36"/>
      <c r="U46" s="12"/>
      <c r="V46" s="12"/>
      <c r="W46" s="12"/>
      <c r="X46" s="178"/>
      <c r="Y46" s="12"/>
      <c r="Z46" s="98"/>
      <c r="AA46" s="136"/>
      <c r="AB46" s="165"/>
      <c r="AC46" s="97"/>
      <c r="AF46" s="12"/>
      <c r="AG46" s="12"/>
      <c r="AX46" s="12"/>
      <c r="AY46" s="52"/>
      <c r="AZ46" s="58"/>
      <c r="BA46" s="58"/>
      <c r="BB46" s="58"/>
      <c r="BC46" s="58"/>
      <c r="BD46" s="58"/>
      <c r="BE46" s="12"/>
      <c r="BF46" s="52"/>
      <c r="BG46" s="58"/>
      <c r="BH46" s="65"/>
      <c r="BI46" s="65"/>
      <c r="BJ46" s="65"/>
      <c r="BK46" s="65"/>
      <c r="BL46" s="39"/>
      <c r="BM46" s="39"/>
      <c r="BN46" s="39"/>
      <c r="BO46" s="534"/>
      <c r="BP46" s="39">
        <f t="shared" si="33"/>
        <v>0</v>
      </c>
      <c r="BQ46" s="51"/>
      <c r="BR46" s="99" t="e">
        <f t="shared" si="34"/>
        <v>#DIV/0!</v>
      </c>
      <c r="BS46" s="30"/>
      <c r="BW46" s="280">
        <f t="shared" si="40"/>
        <v>0</v>
      </c>
      <c r="BX46" s="39">
        <f t="shared" si="35"/>
        <v>0</v>
      </c>
      <c r="BY46" s="51" t="e">
        <f t="shared" si="10"/>
        <v>#DIV/0!</v>
      </c>
    </row>
    <row r="47" spans="1:77" s="13" customFormat="1" ht="18" customHeight="1">
      <c r="A47" s="73" t="s">
        <v>161</v>
      </c>
      <c r="E47" s="15"/>
      <c r="H47" s="15"/>
      <c r="K47" s="15"/>
      <c r="L47" s="12"/>
      <c r="M47" s="12"/>
      <c r="N47" s="36"/>
      <c r="O47" s="12"/>
      <c r="P47" s="12"/>
      <c r="Q47" s="36"/>
      <c r="R47" s="12"/>
      <c r="S47" s="12"/>
      <c r="T47" s="36"/>
      <c r="U47" s="12"/>
      <c r="V47" s="12"/>
      <c r="W47" s="12"/>
      <c r="X47" s="178"/>
      <c r="Y47" s="12"/>
      <c r="Z47" s="98"/>
      <c r="AA47" s="136"/>
      <c r="AB47" s="165"/>
      <c r="AC47" s="97"/>
      <c r="AF47" s="12"/>
      <c r="AG47" s="12"/>
      <c r="AI47" s="13">
        <f>354535-67904-37678-101696</f>
        <v>147257</v>
      </c>
      <c r="AX47" s="12"/>
      <c r="AY47" s="52"/>
      <c r="AZ47" s="58"/>
      <c r="BA47" s="58"/>
      <c r="BB47" s="58"/>
      <c r="BC47" s="58"/>
      <c r="BD47" s="58"/>
      <c r="BE47" s="12"/>
      <c r="BF47" s="52"/>
      <c r="BG47" s="58"/>
      <c r="BH47" s="65"/>
      <c r="BI47" s="65"/>
      <c r="BJ47" s="65"/>
      <c r="BK47" s="65"/>
      <c r="BL47" s="39"/>
      <c r="BM47" s="39"/>
      <c r="BN47" s="39"/>
      <c r="BO47" s="534"/>
      <c r="BP47" s="39">
        <f t="shared" si="33"/>
        <v>0</v>
      </c>
      <c r="BQ47" s="51"/>
      <c r="BR47" s="99" t="e">
        <f t="shared" si="34"/>
        <v>#DIV/0!</v>
      </c>
      <c r="BS47" s="30"/>
      <c r="BW47" s="280">
        <f t="shared" si="40"/>
        <v>0</v>
      </c>
      <c r="BX47" s="39">
        <f t="shared" si="35"/>
        <v>0</v>
      </c>
      <c r="BY47" s="51" t="e">
        <f t="shared" si="10"/>
        <v>#DIV/0!</v>
      </c>
    </row>
    <row r="48" spans="1:77" ht="18" customHeight="1">
      <c r="A48" s="73" t="s">
        <v>163</v>
      </c>
      <c r="N48" s="58"/>
      <c r="Q48" s="58"/>
      <c r="R48" s="12"/>
      <c r="S48" s="52"/>
      <c r="T48" s="58"/>
      <c r="U48" s="52"/>
      <c r="V48" s="52"/>
      <c r="W48" s="58"/>
      <c r="AB48" s="172"/>
      <c r="AI48" s="50">
        <f>+AI47+5268443</f>
        <v>5415700</v>
      </c>
      <c r="AR48" s="259"/>
      <c r="AS48" s="259"/>
      <c r="AU48" s="13"/>
      <c r="BH48" s="65"/>
      <c r="BI48" s="65"/>
      <c r="BJ48" s="65"/>
      <c r="BK48" s="65"/>
      <c r="BL48" s="39"/>
      <c r="BM48" s="39"/>
      <c r="BN48" s="39"/>
      <c r="BO48" s="534"/>
      <c r="BP48" s="39">
        <f t="shared" si="33"/>
        <v>0</v>
      </c>
      <c r="BQ48" s="51"/>
      <c r="BR48" s="99" t="e">
        <f t="shared" si="34"/>
        <v>#DIV/0!</v>
      </c>
      <c r="BW48" s="280">
        <f t="shared" si="40"/>
        <v>0</v>
      </c>
      <c r="BX48" s="39">
        <f t="shared" si="35"/>
        <v>0</v>
      </c>
      <c r="BY48" s="51" t="e">
        <f t="shared" si="10"/>
        <v>#DIV/0!</v>
      </c>
    </row>
    <row r="49" spans="1:77" ht="18" customHeight="1">
      <c r="A49" s="73" t="s">
        <v>414</v>
      </c>
      <c r="N49" s="58"/>
      <c r="Q49" s="58"/>
      <c r="R49" s="12"/>
      <c r="S49" s="52"/>
      <c r="T49" s="58"/>
      <c r="U49" s="52"/>
      <c r="V49" s="52"/>
      <c r="W49" s="58"/>
      <c r="AB49" s="172"/>
      <c r="AT49" s="52"/>
      <c r="AU49" s="99"/>
      <c r="AV49" s="52"/>
      <c r="AW49" s="99"/>
      <c r="BH49" s="65"/>
      <c r="BI49" s="65"/>
      <c r="BJ49" s="65"/>
      <c r="BK49" s="65"/>
      <c r="BL49" s="39"/>
      <c r="BM49" s="39"/>
      <c r="BN49" s="39"/>
      <c r="BO49" s="534"/>
      <c r="BP49" s="39">
        <f t="shared" si="33"/>
        <v>0</v>
      </c>
      <c r="BQ49" s="51"/>
      <c r="BR49" s="99" t="e">
        <f t="shared" si="34"/>
        <v>#DIV/0!</v>
      </c>
      <c r="BW49" s="280">
        <f t="shared" si="40"/>
        <v>0</v>
      </c>
      <c r="BX49" s="39">
        <f t="shared" si="35"/>
        <v>0</v>
      </c>
      <c r="BY49" s="51" t="e">
        <f t="shared" si="10"/>
        <v>#DIV/0!</v>
      </c>
    </row>
    <row r="50" spans="1:77" s="118" customFormat="1" ht="18" customHeight="1">
      <c r="A50" s="116" t="s">
        <v>50</v>
      </c>
      <c r="E50" s="353"/>
      <c r="H50" s="353"/>
      <c r="K50" s="353"/>
      <c r="L50" s="105"/>
      <c r="M50" s="105"/>
      <c r="N50" s="117"/>
      <c r="O50" s="105"/>
      <c r="P50" s="105"/>
      <c r="Q50" s="117"/>
      <c r="T50" s="119"/>
      <c r="W50" s="119"/>
      <c r="X50" s="179"/>
      <c r="Y50" s="162"/>
      <c r="Z50" s="122"/>
      <c r="AA50" s="201"/>
      <c r="AB50" s="170"/>
      <c r="AC50" s="124"/>
      <c r="AF50" s="154"/>
      <c r="AG50" s="154"/>
      <c r="AX50" s="154"/>
      <c r="AY50" s="107"/>
      <c r="AZ50" s="125"/>
      <c r="BA50" s="125"/>
      <c r="BB50" s="125"/>
      <c r="BC50" s="125"/>
      <c r="BD50" s="125"/>
      <c r="BE50" s="154"/>
      <c r="BF50" s="107"/>
      <c r="BG50" s="125"/>
      <c r="BH50" s="110"/>
      <c r="BI50" s="110"/>
      <c r="BJ50" s="110"/>
      <c r="BK50" s="110"/>
      <c r="BL50" s="554"/>
      <c r="BM50" s="554"/>
      <c r="BN50" s="554"/>
      <c r="BO50" s="680"/>
      <c r="BP50" s="39">
        <f t="shared" si="33"/>
        <v>0</v>
      </c>
      <c r="BQ50" s="108"/>
      <c r="BR50" s="99" t="e">
        <f t="shared" si="34"/>
        <v>#DIV/0!</v>
      </c>
      <c r="BS50" s="121"/>
      <c r="BW50" s="298"/>
      <c r="BX50" s="554"/>
      <c r="BY50" s="108"/>
    </row>
    <row r="51" spans="1:77" s="79" customFormat="1" ht="18" customHeight="1">
      <c r="A51" s="59" t="s">
        <v>164</v>
      </c>
      <c r="B51" s="323">
        <f>6762+8384</f>
        <v>15146</v>
      </c>
      <c r="C51" s="323">
        <f>11033+10023</f>
        <v>21056</v>
      </c>
      <c r="D51" s="323">
        <f>C51-B51</f>
        <v>5910</v>
      </c>
      <c r="E51" s="352">
        <f>(C51-B51)/B51</f>
        <v>0.39020203354020866</v>
      </c>
      <c r="F51" s="582">
        <f>20141</f>
        <v>20141</v>
      </c>
      <c r="G51" s="582">
        <f>F51-C51</f>
        <v>-915</v>
      </c>
      <c r="H51" s="274">
        <f>(F51-C51)/C51</f>
        <v>-4.3455547112462009E-2</v>
      </c>
      <c r="I51" s="582">
        <f>3546+18470</f>
        <v>22016</v>
      </c>
      <c r="J51" s="582">
        <f>I51-F51</f>
        <v>1875</v>
      </c>
      <c r="K51" s="274">
        <f>(I51-F51)/F51</f>
        <v>9.3093689489101836E-2</v>
      </c>
      <c r="L51" s="62">
        <v>31696</v>
      </c>
      <c r="M51" s="62">
        <v>9680</v>
      </c>
      <c r="N51" s="241">
        <v>0.43968023255813954</v>
      </c>
      <c r="O51" s="62">
        <v>30358</v>
      </c>
      <c r="P51" s="62">
        <f>O51-L51</f>
        <v>-1338</v>
      </c>
      <c r="Q51" s="241">
        <f t="shared" ref="Q51:Q74" si="48">P51/L51</f>
        <v>-4.2213528520949013E-2</v>
      </c>
      <c r="R51" s="62">
        <f>35288+8000</f>
        <v>43288</v>
      </c>
      <c r="S51" s="62">
        <f t="shared" ref="S51:S74" si="49">R51-O51</f>
        <v>12930</v>
      </c>
      <c r="T51" s="241">
        <f t="shared" ref="T51:T74" si="50">S51/O51</f>
        <v>0.42591738586204625</v>
      </c>
      <c r="U51" s="62">
        <f>71168-30146+5000</f>
        <v>46022</v>
      </c>
      <c r="V51" s="62">
        <f>U51-R51</f>
        <v>2734</v>
      </c>
      <c r="W51" s="241">
        <f>V51/R51</f>
        <v>6.3158381075586773E-2</v>
      </c>
      <c r="X51" s="166">
        <f>99480-23279-12228</f>
        <v>63973</v>
      </c>
      <c r="Y51" s="62">
        <f t="shared" ref="Y51:Y58" si="51">X51-U51</f>
        <v>17951</v>
      </c>
      <c r="Z51" s="95">
        <f t="shared" ref="Z51:Z58" si="52">Y51/U51</f>
        <v>0.39005258354699929</v>
      </c>
      <c r="AA51" s="202">
        <f>79664-24739</f>
        <v>54925</v>
      </c>
      <c r="AB51" s="583">
        <f t="shared" ref="AB51:AB58" si="53">AA51-X51</f>
        <v>-9048</v>
      </c>
      <c r="AC51" s="584">
        <f t="shared" ref="AC51:AC58" si="54">AB51/X51</f>
        <v>-0.14143466775045721</v>
      </c>
      <c r="AD51" s="78">
        <v>4020</v>
      </c>
      <c r="AE51" s="78">
        <f>21164+8226</f>
        <v>29390</v>
      </c>
      <c r="AF51" s="62">
        <v>27673</v>
      </c>
      <c r="AG51" s="62">
        <f t="shared" ref="AG51:AG73" si="55">AF51-AA51</f>
        <v>-27252</v>
      </c>
      <c r="AH51" s="241">
        <f t="shared" ref="AH51:AH73" si="56">AG51/AA51</f>
        <v>-0.49616750113791536</v>
      </c>
      <c r="AI51" s="78">
        <f>AF51-137</f>
        <v>27536</v>
      </c>
      <c r="AJ51" s="78">
        <f>AF51-779</f>
        <v>26894</v>
      </c>
      <c r="AK51" s="78">
        <v>3040</v>
      </c>
      <c r="AL51" s="585">
        <v>680</v>
      </c>
      <c r="AM51" s="202">
        <f t="shared" ref="AM51:AM73" si="57">+AL51+AK51</f>
        <v>3720</v>
      </c>
      <c r="AN51" s="79">
        <v>2403</v>
      </c>
      <c r="AO51" s="79">
        <v>17074</v>
      </c>
      <c r="AP51" s="595">
        <v>611</v>
      </c>
      <c r="AQ51" s="595">
        <v>601</v>
      </c>
      <c r="AR51" s="487">
        <f>AP51+AQ51</f>
        <v>1212</v>
      </c>
      <c r="AS51" s="62">
        <f>BB51+AR51</f>
        <v>16868.30013</v>
      </c>
      <c r="AT51" s="78">
        <f>AS51-AF51</f>
        <v>-10804.69987</v>
      </c>
      <c r="AU51" s="579">
        <f>AT51/AF51</f>
        <v>-0.3904419423264554</v>
      </c>
      <c r="AV51" s="78">
        <f t="shared" ref="AV51:AV74" si="58">+AS51-AF51</f>
        <v>-10804.69987</v>
      </c>
      <c r="AW51" s="579">
        <f t="shared" ref="AW51:AW74" si="59">+AV51/AF51</f>
        <v>-0.3904419423264554</v>
      </c>
      <c r="AX51" s="62">
        <v>15457</v>
      </c>
      <c r="AY51" s="62">
        <f t="shared" si="27"/>
        <v>-12216</v>
      </c>
      <c r="AZ51" s="241">
        <f t="shared" si="28"/>
        <v>-0.44144111588913382</v>
      </c>
      <c r="BA51" s="616">
        <f>2361.10689+8078.21484+8083.25177</f>
        <v>18522.573499999999</v>
      </c>
      <c r="BB51" s="616">
        <f>2157.6385+5500.39728+7998.26435</f>
        <v>15656.30013</v>
      </c>
      <c r="BC51" s="616">
        <f>BA51-BB51</f>
        <v>2866.273369999999</v>
      </c>
      <c r="BD51" s="31">
        <f>BC51/BA51</f>
        <v>0.15474487764888606</v>
      </c>
      <c r="BE51" s="62">
        <f>8239+4979</f>
        <v>13218</v>
      </c>
      <c r="BF51" s="62">
        <f t="shared" ref="BF51:BF74" si="60">BE51-AX51</f>
        <v>-2239</v>
      </c>
      <c r="BG51" s="241">
        <f t="shared" ref="BG51:BG74" si="61">BF51/AX51</f>
        <v>-0.14485346444976385</v>
      </c>
      <c r="BH51" s="78">
        <v>299</v>
      </c>
      <c r="BI51" s="78"/>
      <c r="BJ51" s="78"/>
      <c r="BK51" s="78">
        <v>48</v>
      </c>
      <c r="BL51" s="487">
        <f t="shared" si="31"/>
        <v>13565</v>
      </c>
      <c r="BM51" s="487">
        <f t="shared" ref="BM51:BM74" si="62">BL51-AS51</f>
        <v>-3303.3001299999996</v>
      </c>
      <c r="BN51" s="487">
        <v>19527</v>
      </c>
      <c r="BO51" s="595">
        <v>29184</v>
      </c>
      <c r="BP51" s="39">
        <f t="shared" si="33"/>
        <v>15966</v>
      </c>
      <c r="BQ51" s="579">
        <f t="shared" ref="BQ51:BQ74" si="63">BM51/AS51</f>
        <v>-0.1958288686199704</v>
      </c>
      <c r="BR51" s="99">
        <f t="shared" si="34"/>
        <v>1.2078983204720835</v>
      </c>
      <c r="BS51" s="487">
        <v>4108</v>
      </c>
      <c r="BV51" s="487">
        <v>0</v>
      </c>
      <c r="BW51" s="39">
        <f t="shared" ref="BW51:BW83" si="64">BN51+BS51+BT51+BU51+BV51</f>
        <v>23635</v>
      </c>
      <c r="BX51" s="39">
        <f t="shared" ref="BX51:BX83" si="65">BW51-BL51</f>
        <v>10070</v>
      </c>
      <c r="BY51" s="51">
        <f t="shared" ref="BY51:BY83" si="66">BX51/BL51</f>
        <v>0.74235164025064504</v>
      </c>
    </row>
    <row r="52" spans="1:77" s="79" customFormat="1" ht="18" customHeight="1">
      <c r="A52" s="59" t="s">
        <v>63</v>
      </c>
      <c r="B52" s="593">
        <v>0</v>
      </c>
      <c r="C52" s="593">
        <v>0</v>
      </c>
      <c r="D52" s="323">
        <f t="shared" ref="D52:D109" si="67">C52-B52</f>
        <v>0</v>
      </c>
      <c r="E52" s="593" t="s">
        <v>78</v>
      </c>
      <c r="F52" s="593">
        <v>5447</v>
      </c>
      <c r="G52" s="582">
        <f t="shared" ref="G52:G109" si="68">F52-C52</f>
        <v>5447</v>
      </c>
      <c r="H52" s="593" t="s">
        <v>78</v>
      </c>
      <c r="I52" s="582">
        <v>6116</v>
      </c>
      <c r="J52" s="582">
        <f t="shared" ref="J52:J109" si="69">I52-F52</f>
        <v>669</v>
      </c>
      <c r="K52" s="593" t="s">
        <v>78</v>
      </c>
      <c r="L52" s="62">
        <v>6106</v>
      </c>
      <c r="M52" s="62">
        <v>-60</v>
      </c>
      <c r="N52" s="241">
        <v>-9.7307817061303929E-3</v>
      </c>
      <c r="O52" s="62">
        <v>5946</v>
      </c>
      <c r="P52" s="62">
        <f t="shared" ref="P52:P62" si="70">O52-L52</f>
        <v>-160</v>
      </c>
      <c r="Q52" s="241">
        <f t="shared" si="48"/>
        <v>-2.6203734032099576E-2</v>
      </c>
      <c r="R52" s="62">
        <v>5918</v>
      </c>
      <c r="S52" s="62">
        <f t="shared" si="49"/>
        <v>-28</v>
      </c>
      <c r="T52" s="241">
        <f t="shared" si="50"/>
        <v>-4.7090480995627309E-3</v>
      </c>
      <c r="U52" s="62">
        <v>6563</v>
      </c>
      <c r="V52" s="62">
        <f t="shared" ref="V52:V71" si="71">U52-R52</f>
        <v>645</v>
      </c>
      <c r="W52" s="241">
        <f t="shared" ref="W52:W69" si="72">V52/R52</f>
        <v>0.10898952348766475</v>
      </c>
      <c r="X52" s="166">
        <v>8042</v>
      </c>
      <c r="Y52" s="62">
        <f t="shared" si="51"/>
        <v>1479</v>
      </c>
      <c r="Z52" s="95">
        <f t="shared" si="52"/>
        <v>0.22535425872314491</v>
      </c>
      <c r="AA52" s="202">
        <v>9423</v>
      </c>
      <c r="AB52" s="583">
        <f t="shared" si="53"/>
        <v>1381</v>
      </c>
      <c r="AC52" s="584">
        <f t="shared" si="54"/>
        <v>0.17172345187764237</v>
      </c>
      <c r="AD52" s="78">
        <v>7618</v>
      </c>
      <c r="AE52" s="78">
        <v>60</v>
      </c>
      <c r="AF52" s="62">
        <v>7249</v>
      </c>
      <c r="AG52" s="62">
        <f t="shared" si="55"/>
        <v>-2174</v>
      </c>
      <c r="AH52" s="241">
        <f t="shared" si="56"/>
        <v>-0.23071208744561181</v>
      </c>
      <c r="AI52" s="78">
        <f>AF52+204</f>
        <v>7453</v>
      </c>
      <c r="AJ52" s="78">
        <f>AF52+204</f>
        <v>7453</v>
      </c>
      <c r="AK52" s="78">
        <v>8369</v>
      </c>
      <c r="AM52" s="202">
        <f t="shared" si="57"/>
        <v>8369</v>
      </c>
      <c r="AN52" s="79">
        <v>6112</v>
      </c>
      <c r="AO52" s="79">
        <v>6130</v>
      </c>
      <c r="AP52" s="595">
        <v>977</v>
      </c>
      <c r="AQ52" s="595">
        <v>95</v>
      </c>
      <c r="AR52" s="487">
        <f t="shared" ref="AR52:AR74" si="73">AP52+AQ52</f>
        <v>1072</v>
      </c>
      <c r="AS52" s="62">
        <f t="shared" ref="AS52:AS73" si="74">BB52+AR52</f>
        <v>6571.4900099999995</v>
      </c>
      <c r="AT52" s="78">
        <f t="shared" ref="AT52:AT74" si="75">AS52-AF52</f>
        <v>-677.50999000000047</v>
      </c>
      <c r="AU52" s="579">
        <f t="shared" ref="AU52:AU74" si="76">AT52/AF52</f>
        <v>-9.3462545178645398E-2</v>
      </c>
      <c r="AV52" s="78">
        <f t="shared" si="58"/>
        <v>-677.50999000000047</v>
      </c>
      <c r="AW52" s="579">
        <f t="shared" si="59"/>
        <v>-9.3462545178645398E-2</v>
      </c>
      <c r="AX52" s="62">
        <f>5974</f>
        <v>5974</v>
      </c>
      <c r="AY52" s="62">
        <f t="shared" si="27"/>
        <v>-1275</v>
      </c>
      <c r="AZ52" s="241">
        <f t="shared" si="28"/>
        <v>-0.17588632914884811</v>
      </c>
      <c r="BA52" s="617">
        <f>5830.60929+23.7824</f>
        <v>5854.3916900000004</v>
      </c>
      <c r="BB52" s="617">
        <f>5480.12761+19.3624</f>
        <v>5499.4900099999995</v>
      </c>
      <c r="BC52" s="616">
        <f t="shared" ref="BC52:BC73" si="77">BA52-BB52</f>
        <v>354.90168000000085</v>
      </c>
      <c r="BD52" s="31">
        <f t="shared" ref="BD52:BD73" si="78">BC52/BA52</f>
        <v>6.0621444343434569E-2</v>
      </c>
      <c r="BE52" s="62">
        <f>6276</f>
        <v>6276</v>
      </c>
      <c r="BF52" s="62">
        <f t="shared" si="60"/>
        <v>302</v>
      </c>
      <c r="BG52" s="241">
        <f t="shared" si="61"/>
        <v>5.0552393706059594E-2</v>
      </c>
      <c r="BH52" s="78">
        <v>1251</v>
      </c>
      <c r="BI52" s="78"/>
      <c r="BJ52" s="78"/>
      <c r="BK52" s="78">
        <v>18</v>
      </c>
      <c r="BL52" s="487">
        <f t="shared" si="31"/>
        <v>7545</v>
      </c>
      <c r="BM52" s="487">
        <f t="shared" si="62"/>
        <v>973.50999000000047</v>
      </c>
      <c r="BN52" s="487">
        <v>6389</v>
      </c>
      <c r="BO52" s="595">
        <v>6589</v>
      </c>
      <c r="BP52" s="39">
        <f t="shared" si="33"/>
        <v>313</v>
      </c>
      <c r="BQ52" s="579">
        <f t="shared" si="63"/>
        <v>0.14814143953937176</v>
      </c>
      <c r="BR52" s="99">
        <f t="shared" si="34"/>
        <v>4.9872530274059912E-2</v>
      </c>
      <c r="BS52" s="487">
        <v>1339</v>
      </c>
      <c r="BV52" s="487">
        <v>0</v>
      </c>
      <c r="BW52" s="39">
        <f t="shared" si="64"/>
        <v>7728</v>
      </c>
      <c r="BX52" s="39">
        <f t="shared" si="65"/>
        <v>183</v>
      </c>
      <c r="BY52" s="51">
        <f t="shared" si="66"/>
        <v>2.4254473161033796E-2</v>
      </c>
    </row>
    <row r="53" spans="1:77" s="79" customFormat="1" ht="18" customHeight="1">
      <c r="A53" s="59" t="s">
        <v>102</v>
      </c>
      <c r="B53" s="593">
        <v>0</v>
      </c>
      <c r="C53" s="593">
        <v>0</v>
      </c>
      <c r="D53" s="323">
        <f t="shared" si="67"/>
        <v>0</v>
      </c>
      <c r="E53" s="593" t="s">
        <v>78</v>
      </c>
      <c r="F53" s="593">
        <v>1216</v>
      </c>
      <c r="G53" s="582">
        <f t="shared" si="68"/>
        <v>1216</v>
      </c>
      <c r="H53" s="593" t="s">
        <v>78</v>
      </c>
      <c r="I53" s="582">
        <v>959</v>
      </c>
      <c r="J53" s="582">
        <f t="shared" si="69"/>
        <v>-257</v>
      </c>
      <c r="K53" s="593" t="s">
        <v>78</v>
      </c>
      <c r="L53" s="62">
        <v>1002</v>
      </c>
      <c r="M53" s="62">
        <v>43</v>
      </c>
      <c r="N53" s="241">
        <v>4.4838373305526591E-2</v>
      </c>
      <c r="O53" s="62">
        <v>982</v>
      </c>
      <c r="P53" s="62">
        <f t="shared" si="70"/>
        <v>-20</v>
      </c>
      <c r="Q53" s="241">
        <f t="shared" si="48"/>
        <v>-1.9960079840319361E-2</v>
      </c>
      <c r="R53" s="62">
        <v>1698</v>
      </c>
      <c r="S53" s="62">
        <f t="shared" si="49"/>
        <v>716</v>
      </c>
      <c r="T53" s="241">
        <f t="shared" si="50"/>
        <v>0.72912423625254585</v>
      </c>
      <c r="U53" s="62">
        <v>2048</v>
      </c>
      <c r="V53" s="62">
        <f t="shared" si="71"/>
        <v>350</v>
      </c>
      <c r="W53" s="241">
        <f t="shared" si="72"/>
        <v>0.2061248527679623</v>
      </c>
      <c r="X53" s="166">
        <v>4493</v>
      </c>
      <c r="Y53" s="62">
        <f t="shared" si="51"/>
        <v>2445</v>
      </c>
      <c r="Z53" s="95">
        <f t="shared" si="52"/>
        <v>1.19384765625</v>
      </c>
      <c r="AA53" s="202">
        <v>3225</v>
      </c>
      <c r="AB53" s="583">
        <f t="shared" si="53"/>
        <v>-1268</v>
      </c>
      <c r="AC53" s="584">
        <f t="shared" si="54"/>
        <v>-0.28221678166036057</v>
      </c>
      <c r="AD53" s="78">
        <v>2385</v>
      </c>
      <c r="AE53" s="78"/>
      <c r="AF53" s="62">
        <v>2339</v>
      </c>
      <c r="AG53" s="62">
        <f t="shared" si="55"/>
        <v>-886</v>
      </c>
      <c r="AH53" s="241">
        <f t="shared" si="56"/>
        <v>-0.27472868217054264</v>
      </c>
      <c r="AI53" s="78">
        <f>AF53-271</f>
        <v>2068</v>
      </c>
      <c r="AJ53" s="78">
        <f>AF53-271</f>
        <v>2068</v>
      </c>
      <c r="AK53" s="78">
        <v>2453</v>
      </c>
      <c r="AM53" s="202">
        <f t="shared" si="57"/>
        <v>2453</v>
      </c>
      <c r="AN53" s="79">
        <v>2114</v>
      </c>
      <c r="AO53" s="79">
        <v>2114</v>
      </c>
      <c r="AP53" s="595">
        <v>88</v>
      </c>
      <c r="AQ53" s="595">
        <v>28</v>
      </c>
      <c r="AR53" s="487">
        <f t="shared" si="73"/>
        <v>116</v>
      </c>
      <c r="AS53" s="62">
        <f t="shared" si="74"/>
        <v>7651.7482600000003</v>
      </c>
      <c r="AT53" s="78">
        <f t="shared" si="75"/>
        <v>5312.7482600000003</v>
      </c>
      <c r="AU53" s="579">
        <f t="shared" si="76"/>
        <v>2.2713759127832409</v>
      </c>
      <c r="AV53" s="78">
        <f t="shared" si="58"/>
        <v>5312.7482600000003</v>
      </c>
      <c r="AW53" s="579">
        <f t="shared" si="59"/>
        <v>2.2713759127832409</v>
      </c>
      <c r="AX53" s="62">
        <f>4653+3023</f>
        <v>7676</v>
      </c>
      <c r="AY53" s="62">
        <f t="shared" si="27"/>
        <v>5337</v>
      </c>
      <c r="AZ53" s="241">
        <f t="shared" si="28"/>
        <v>2.281744335185977</v>
      </c>
      <c r="BA53" s="616">
        <v>7676.28078</v>
      </c>
      <c r="BB53" s="616">
        <v>7535.7482600000003</v>
      </c>
      <c r="BC53" s="616">
        <f t="shared" si="77"/>
        <v>140.53251999999975</v>
      </c>
      <c r="BD53" s="31">
        <f t="shared" si="78"/>
        <v>1.8307370981810251E-2</v>
      </c>
      <c r="BE53" s="62">
        <f>3052+1800</f>
        <v>4852</v>
      </c>
      <c r="BF53" s="62">
        <f t="shared" si="60"/>
        <v>-2824</v>
      </c>
      <c r="BG53" s="241">
        <f t="shared" si="61"/>
        <v>-0.36789994788952579</v>
      </c>
      <c r="BH53" s="78">
        <v>69</v>
      </c>
      <c r="BI53" s="78"/>
      <c r="BJ53" s="78"/>
      <c r="BK53" s="78">
        <v>40</v>
      </c>
      <c r="BL53" s="487">
        <f t="shared" si="31"/>
        <v>4961</v>
      </c>
      <c r="BM53" s="487">
        <f t="shared" si="62"/>
        <v>-2690.7482600000003</v>
      </c>
      <c r="BN53" s="487">
        <v>5276</v>
      </c>
      <c r="BO53" s="595">
        <v>5276</v>
      </c>
      <c r="BP53" s="39">
        <f t="shared" si="33"/>
        <v>424</v>
      </c>
      <c r="BQ53" s="579">
        <f t="shared" si="63"/>
        <v>-0.35165143553742584</v>
      </c>
      <c r="BR53" s="99">
        <f t="shared" si="34"/>
        <v>8.7386644682605111E-2</v>
      </c>
      <c r="BS53" s="487">
        <v>86</v>
      </c>
      <c r="BV53" s="487">
        <v>1</v>
      </c>
      <c r="BW53" s="39">
        <f t="shared" si="64"/>
        <v>5363</v>
      </c>
      <c r="BX53" s="39">
        <f t="shared" si="65"/>
        <v>402</v>
      </c>
      <c r="BY53" s="51">
        <f t="shared" si="66"/>
        <v>8.103204998992139E-2</v>
      </c>
    </row>
    <row r="54" spans="1:77" s="79" customFormat="1" ht="18" customHeight="1">
      <c r="A54" s="59" t="s">
        <v>103</v>
      </c>
      <c r="B54" s="593">
        <v>0</v>
      </c>
      <c r="C54" s="593">
        <v>0</v>
      </c>
      <c r="D54" s="323">
        <f t="shared" si="67"/>
        <v>0</v>
      </c>
      <c r="E54" s="593" t="s">
        <v>78</v>
      </c>
      <c r="F54" s="593">
        <v>427</v>
      </c>
      <c r="G54" s="582">
        <f t="shared" si="68"/>
        <v>427</v>
      </c>
      <c r="H54" s="593" t="s">
        <v>78</v>
      </c>
      <c r="I54" s="582">
        <v>443</v>
      </c>
      <c r="J54" s="582">
        <f t="shared" si="69"/>
        <v>16</v>
      </c>
      <c r="K54" s="593" t="s">
        <v>78</v>
      </c>
      <c r="L54" s="62">
        <v>515</v>
      </c>
      <c r="M54" s="62">
        <v>72</v>
      </c>
      <c r="N54" s="241">
        <v>0.16252821670428894</v>
      </c>
      <c r="O54" s="62">
        <v>516</v>
      </c>
      <c r="P54" s="62">
        <f t="shared" si="70"/>
        <v>1</v>
      </c>
      <c r="Q54" s="241">
        <f t="shared" si="48"/>
        <v>1.9417475728155339E-3</v>
      </c>
      <c r="R54" s="62">
        <v>536</v>
      </c>
      <c r="S54" s="62">
        <f t="shared" si="49"/>
        <v>20</v>
      </c>
      <c r="T54" s="241">
        <f t="shared" si="50"/>
        <v>3.875968992248062E-2</v>
      </c>
      <c r="U54" s="62">
        <v>543</v>
      </c>
      <c r="V54" s="62">
        <f t="shared" si="71"/>
        <v>7</v>
      </c>
      <c r="W54" s="241">
        <f t="shared" si="72"/>
        <v>1.3059701492537313E-2</v>
      </c>
      <c r="X54" s="166">
        <v>841</v>
      </c>
      <c r="Y54" s="62">
        <f t="shared" si="51"/>
        <v>298</v>
      </c>
      <c r="Z54" s="95">
        <f t="shared" si="52"/>
        <v>0.54880294659300188</v>
      </c>
      <c r="AA54" s="202">
        <v>652</v>
      </c>
      <c r="AB54" s="583">
        <f t="shared" si="53"/>
        <v>-189</v>
      </c>
      <c r="AC54" s="584">
        <f t="shared" si="54"/>
        <v>-0.22473246135552913</v>
      </c>
      <c r="AD54" s="537">
        <v>584</v>
      </c>
      <c r="AE54" s="537">
        <v>52</v>
      </c>
      <c r="AF54" s="62">
        <v>537</v>
      </c>
      <c r="AG54" s="62">
        <f t="shared" si="55"/>
        <v>-115</v>
      </c>
      <c r="AH54" s="241">
        <f t="shared" si="56"/>
        <v>-0.17638036809815952</v>
      </c>
      <c r="AI54" s="246">
        <f>AF54</f>
        <v>537</v>
      </c>
      <c r="AJ54" s="246">
        <f>AF54</f>
        <v>537</v>
      </c>
      <c r="AK54" s="78">
        <v>595</v>
      </c>
      <c r="AM54" s="202">
        <f t="shared" si="57"/>
        <v>595</v>
      </c>
      <c r="AN54" s="585">
        <v>555</v>
      </c>
      <c r="AO54" s="585">
        <v>602</v>
      </c>
      <c r="AP54" s="595">
        <v>0</v>
      </c>
      <c r="AQ54" s="595">
        <v>2</v>
      </c>
      <c r="AR54" s="487">
        <f t="shared" si="73"/>
        <v>2</v>
      </c>
      <c r="AS54" s="62">
        <f t="shared" si="74"/>
        <v>646.78075000000001</v>
      </c>
      <c r="AT54" s="78">
        <f t="shared" si="75"/>
        <v>109.78075000000001</v>
      </c>
      <c r="AU54" s="579">
        <f t="shared" si="76"/>
        <v>0.204433426443203</v>
      </c>
      <c r="AV54" s="78">
        <f t="shared" si="58"/>
        <v>109.78075000000001</v>
      </c>
      <c r="AW54" s="579">
        <f t="shared" si="59"/>
        <v>0.204433426443203</v>
      </c>
      <c r="AX54" s="202">
        <f>593+3</f>
        <v>596</v>
      </c>
      <c r="AY54" s="62">
        <f t="shared" si="27"/>
        <v>59</v>
      </c>
      <c r="AZ54" s="241">
        <f t="shared" si="28"/>
        <v>0.10986964618249534</v>
      </c>
      <c r="BA54" s="616">
        <f>670.42108+76.359</f>
        <v>746.78008</v>
      </c>
      <c r="BB54" s="616">
        <f>571.1893+73.59145</f>
        <v>644.78075000000001</v>
      </c>
      <c r="BC54" s="616">
        <f t="shared" si="77"/>
        <v>101.99932999999999</v>
      </c>
      <c r="BD54" s="31">
        <f t="shared" si="78"/>
        <v>0.13658549917400045</v>
      </c>
      <c r="BE54" s="62">
        <f>671+55</f>
        <v>726</v>
      </c>
      <c r="BF54" s="62">
        <f t="shared" si="60"/>
        <v>130</v>
      </c>
      <c r="BG54" s="241">
        <f t="shared" si="61"/>
        <v>0.21812080536912751</v>
      </c>
      <c r="BH54" s="78">
        <v>23</v>
      </c>
      <c r="BI54" s="78"/>
      <c r="BJ54" s="78"/>
      <c r="BK54" s="78">
        <v>1</v>
      </c>
      <c r="BL54" s="487">
        <f t="shared" si="31"/>
        <v>750</v>
      </c>
      <c r="BM54" s="487">
        <f t="shared" si="62"/>
        <v>103.21924999999999</v>
      </c>
      <c r="BN54" s="487">
        <v>869</v>
      </c>
      <c r="BO54" s="595">
        <v>869</v>
      </c>
      <c r="BP54" s="39">
        <f t="shared" si="33"/>
        <v>143</v>
      </c>
      <c r="BQ54" s="579">
        <f t="shared" si="63"/>
        <v>0.15958924256790263</v>
      </c>
      <c r="BR54" s="99">
        <f t="shared" si="34"/>
        <v>0.19696969696969696</v>
      </c>
      <c r="BS54" s="487">
        <v>146</v>
      </c>
      <c r="BV54" s="487">
        <v>1</v>
      </c>
      <c r="BW54" s="39">
        <f t="shared" si="64"/>
        <v>1016</v>
      </c>
      <c r="BX54" s="39">
        <f t="shared" si="65"/>
        <v>266</v>
      </c>
      <c r="BY54" s="51">
        <f t="shared" si="66"/>
        <v>0.35466666666666669</v>
      </c>
    </row>
    <row r="55" spans="1:77" s="79" customFormat="1" ht="18" customHeight="1">
      <c r="A55" s="59" t="s">
        <v>64</v>
      </c>
      <c r="B55" s="323">
        <v>1222</v>
      </c>
      <c r="C55" s="323">
        <v>1813</v>
      </c>
      <c r="D55" s="323">
        <f t="shared" si="67"/>
        <v>591</v>
      </c>
      <c r="E55" s="352">
        <f t="shared" ref="E55:E109" si="79">(C55-B55)/B55</f>
        <v>0.48363338788870702</v>
      </c>
      <c r="F55" s="582">
        <v>1892</v>
      </c>
      <c r="G55" s="582">
        <f t="shared" si="68"/>
        <v>79</v>
      </c>
      <c r="H55" s="274">
        <f t="shared" ref="H55:H109" si="80">(F55-C55)/C55</f>
        <v>4.3574186431329286E-2</v>
      </c>
      <c r="I55" s="582">
        <v>2302</v>
      </c>
      <c r="J55" s="582">
        <f t="shared" si="69"/>
        <v>410</v>
      </c>
      <c r="K55" s="274">
        <f t="shared" ref="K55:K109" si="81">(I55-F55)/F55</f>
        <v>0.21670190274841439</v>
      </c>
      <c r="L55" s="62">
        <v>2464</v>
      </c>
      <c r="M55" s="62">
        <v>162</v>
      </c>
      <c r="N55" s="241">
        <v>7.0373588184187666E-2</v>
      </c>
      <c r="O55" s="62">
        <v>2457</v>
      </c>
      <c r="P55" s="62">
        <f t="shared" si="70"/>
        <v>-7</v>
      </c>
      <c r="Q55" s="241">
        <f t="shared" si="48"/>
        <v>-2.840909090909091E-3</v>
      </c>
      <c r="R55" s="62">
        <v>2602</v>
      </c>
      <c r="S55" s="62">
        <f t="shared" si="49"/>
        <v>145</v>
      </c>
      <c r="T55" s="241">
        <f t="shared" si="50"/>
        <v>5.9015059015059018E-2</v>
      </c>
      <c r="U55" s="62">
        <v>3055</v>
      </c>
      <c r="V55" s="62">
        <f t="shared" si="71"/>
        <v>453</v>
      </c>
      <c r="W55" s="241">
        <f t="shared" si="72"/>
        <v>0.17409684857801691</v>
      </c>
      <c r="X55" s="166">
        <v>3094</v>
      </c>
      <c r="Y55" s="62">
        <f t="shared" si="51"/>
        <v>39</v>
      </c>
      <c r="Z55" s="95">
        <f t="shared" si="52"/>
        <v>1.276595744680851E-2</v>
      </c>
      <c r="AA55" s="202">
        <v>3137</v>
      </c>
      <c r="AB55" s="583">
        <f t="shared" si="53"/>
        <v>43</v>
      </c>
      <c r="AC55" s="584">
        <f t="shared" si="54"/>
        <v>1.3897866839043309E-2</v>
      </c>
      <c r="AD55" s="78">
        <v>3136</v>
      </c>
      <c r="AE55" s="78"/>
      <c r="AF55" s="62">
        <v>2986</v>
      </c>
      <c r="AG55" s="62">
        <f t="shared" si="55"/>
        <v>-151</v>
      </c>
      <c r="AH55" s="241">
        <f t="shared" si="56"/>
        <v>-4.8135160981829773E-2</v>
      </c>
      <c r="AI55" s="246">
        <f>AF55</f>
        <v>2986</v>
      </c>
      <c r="AJ55" s="246">
        <f>AF55</f>
        <v>2986</v>
      </c>
      <c r="AK55" s="78">
        <v>3224</v>
      </c>
      <c r="AM55" s="202">
        <f t="shared" si="57"/>
        <v>3224</v>
      </c>
      <c r="AN55" s="585">
        <v>2657</v>
      </c>
      <c r="AO55" s="585">
        <v>2657</v>
      </c>
      <c r="AP55" s="595">
        <v>180</v>
      </c>
      <c r="AQ55" s="595">
        <v>15</v>
      </c>
      <c r="AR55" s="487">
        <f t="shared" si="73"/>
        <v>195</v>
      </c>
      <c r="AS55" s="62">
        <f t="shared" si="74"/>
        <v>2661.2408</v>
      </c>
      <c r="AT55" s="78">
        <f t="shared" si="75"/>
        <v>-324.75919999999996</v>
      </c>
      <c r="AU55" s="579">
        <f t="shared" si="76"/>
        <v>-0.1087606162089752</v>
      </c>
      <c r="AV55" s="78">
        <f t="shared" si="58"/>
        <v>-324.75919999999996</v>
      </c>
      <c r="AW55" s="579">
        <f t="shared" si="59"/>
        <v>-0.1087606162089752</v>
      </c>
      <c r="AX55" s="62">
        <v>2553</v>
      </c>
      <c r="AY55" s="62">
        <f t="shared" si="27"/>
        <v>-433</v>
      </c>
      <c r="AZ55" s="241">
        <f t="shared" si="28"/>
        <v>-0.14501004688546551</v>
      </c>
      <c r="BA55" s="616">
        <v>2553.3083700000002</v>
      </c>
      <c r="BB55" s="616">
        <v>2466.2408</v>
      </c>
      <c r="BC55" s="616">
        <f t="shared" si="77"/>
        <v>87.06757000000016</v>
      </c>
      <c r="BD55" s="31">
        <f t="shared" si="78"/>
        <v>3.4099903882741804E-2</v>
      </c>
      <c r="BE55" s="62">
        <v>2544</v>
      </c>
      <c r="BF55" s="62">
        <f t="shared" si="60"/>
        <v>-9</v>
      </c>
      <c r="BG55" s="241">
        <f t="shared" si="61"/>
        <v>-3.5252643948296123E-3</v>
      </c>
      <c r="BH55" s="78">
        <v>140</v>
      </c>
      <c r="BI55" s="78"/>
      <c r="BJ55" s="78"/>
      <c r="BK55" s="78">
        <v>10</v>
      </c>
      <c r="BL55" s="487">
        <f t="shared" si="31"/>
        <v>2694</v>
      </c>
      <c r="BM55" s="487">
        <f t="shared" si="62"/>
        <v>32.759199999999964</v>
      </c>
      <c r="BN55" s="487">
        <v>2596</v>
      </c>
      <c r="BO55" s="595">
        <v>2596</v>
      </c>
      <c r="BP55" s="39">
        <f t="shared" si="33"/>
        <v>52</v>
      </c>
      <c r="BQ55" s="579">
        <f t="shared" si="63"/>
        <v>1.2309746641491429E-2</v>
      </c>
      <c r="BR55" s="99">
        <f t="shared" si="34"/>
        <v>2.0440251572327043E-2</v>
      </c>
      <c r="BS55" s="487">
        <v>174</v>
      </c>
      <c r="BV55" s="487">
        <v>1</v>
      </c>
      <c r="BW55" s="39">
        <f t="shared" si="64"/>
        <v>2771</v>
      </c>
      <c r="BX55" s="39">
        <f t="shared" si="65"/>
        <v>77</v>
      </c>
      <c r="BY55" s="51">
        <f t="shared" si="66"/>
        <v>2.8582034149962882E-2</v>
      </c>
    </row>
    <row r="56" spans="1:77" s="79" customFormat="1" ht="18" customHeight="1">
      <c r="A56" s="59" t="s">
        <v>65</v>
      </c>
      <c r="B56" s="323">
        <f>3988+1898</f>
        <v>5886</v>
      </c>
      <c r="C56" s="323">
        <f>4998+3055</f>
        <v>8053</v>
      </c>
      <c r="D56" s="323">
        <f t="shared" si="67"/>
        <v>2167</v>
      </c>
      <c r="E56" s="352">
        <f t="shared" si="79"/>
        <v>0.36816173972137273</v>
      </c>
      <c r="F56" s="582">
        <f>5425+2860</f>
        <v>8285</v>
      </c>
      <c r="G56" s="582">
        <f t="shared" si="68"/>
        <v>232</v>
      </c>
      <c r="H56" s="274">
        <f t="shared" si="80"/>
        <v>2.8809139451136223E-2</v>
      </c>
      <c r="I56" s="582">
        <f>5787+4395</f>
        <v>10182</v>
      </c>
      <c r="J56" s="582">
        <f t="shared" si="69"/>
        <v>1897</v>
      </c>
      <c r="K56" s="274">
        <f t="shared" si="81"/>
        <v>0.22896801448400725</v>
      </c>
      <c r="L56" s="62">
        <v>16587</v>
      </c>
      <c r="M56" s="62">
        <v>6405</v>
      </c>
      <c r="N56" s="241">
        <v>0.6290512669416618</v>
      </c>
      <c r="O56" s="62">
        <v>47491</v>
      </c>
      <c r="P56" s="62">
        <f t="shared" si="70"/>
        <v>30904</v>
      </c>
      <c r="Q56" s="241">
        <f t="shared" si="48"/>
        <v>1.8631458371013445</v>
      </c>
      <c r="R56" s="62">
        <v>51385</v>
      </c>
      <c r="S56" s="62">
        <f t="shared" si="49"/>
        <v>3894</v>
      </c>
      <c r="T56" s="241">
        <f t="shared" si="50"/>
        <v>8.1994483165231308E-2</v>
      </c>
      <c r="U56" s="62">
        <f>5543+69742</f>
        <v>75285</v>
      </c>
      <c r="V56" s="62">
        <f t="shared" si="71"/>
        <v>23900</v>
      </c>
      <c r="W56" s="241">
        <f t="shared" si="72"/>
        <v>0.46511627906976744</v>
      </c>
      <c r="X56" s="166">
        <f>19439</f>
        <v>19439</v>
      </c>
      <c r="Y56" s="62">
        <f t="shared" si="51"/>
        <v>-55846</v>
      </c>
      <c r="Z56" s="95">
        <f t="shared" si="52"/>
        <v>-0.74179451417945141</v>
      </c>
      <c r="AA56" s="202">
        <f>15851+45832</f>
        <v>61683</v>
      </c>
      <c r="AB56" s="583">
        <f t="shared" si="53"/>
        <v>42244</v>
      </c>
      <c r="AC56" s="584">
        <f t="shared" si="54"/>
        <v>2.1731570554040847</v>
      </c>
      <c r="AD56" s="78">
        <v>10020</v>
      </c>
      <c r="AE56" s="78">
        <v>10603</v>
      </c>
      <c r="AF56" s="62">
        <v>26457</v>
      </c>
      <c r="AG56" s="62">
        <f t="shared" si="55"/>
        <v>-35226</v>
      </c>
      <c r="AH56" s="241">
        <f t="shared" si="56"/>
        <v>-0.57108117309469386</v>
      </c>
      <c r="AI56" s="246">
        <f>AF56+5199</f>
        <v>31656</v>
      </c>
      <c r="AJ56" s="246">
        <f>AF56+6535</f>
        <v>32992</v>
      </c>
      <c r="AK56" s="78">
        <v>9925</v>
      </c>
      <c r="AL56" s="585">
        <v>5031</v>
      </c>
      <c r="AM56" s="202">
        <f t="shared" si="57"/>
        <v>14956</v>
      </c>
      <c r="AN56" s="585">
        <v>12064</v>
      </c>
      <c r="AO56" s="585">
        <v>20478</v>
      </c>
      <c r="AP56" s="595">
        <v>2445</v>
      </c>
      <c r="AQ56" s="595">
        <v>54</v>
      </c>
      <c r="AR56" s="487">
        <f t="shared" si="73"/>
        <v>2499</v>
      </c>
      <c r="AS56" s="62">
        <f>BB56+AR56</f>
        <v>19880.780460000002</v>
      </c>
      <c r="AT56" s="78">
        <f t="shared" si="75"/>
        <v>-6576.2195399999982</v>
      </c>
      <c r="AU56" s="579">
        <f t="shared" si="76"/>
        <v>-0.24856255584533388</v>
      </c>
      <c r="AV56" s="78">
        <f t="shared" si="58"/>
        <v>-6576.2195399999982</v>
      </c>
      <c r="AW56" s="579">
        <f t="shared" si="59"/>
        <v>-0.24856255584533388</v>
      </c>
      <c r="AX56" s="62">
        <f>18876</f>
        <v>18876</v>
      </c>
      <c r="AY56" s="62">
        <f t="shared" si="27"/>
        <v>-7581</v>
      </c>
      <c r="AZ56" s="241">
        <f t="shared" si="28"/>
        <v>-0.28654042408436331</v>
      </c>
      <c r="BA56" s="616">
        <f>10771.66346+8337.43685</f>
        <v>19109.100310000002</v>
      </c>
      <c r="BB56" s="616">
        <f>10771.66346+6610.117</f>
        <v>17381.780460000002</v>
      </c>
      <c r="BC56" s="616">
        <f t="shared" si="77"/>
        <v>1727.3198499999999</v>
      </c>
      <c r="BD56" s="31">
        <f t="shared" si="78"/>
        <v>9.0392526177492216E-2</v>
      </c>
      <c r="BE56" s="62">
        <f>20019</f>
        <v>20019</v>
      </c>
      <c r="BF56" s="62">
        <f t="shared" si="60"/>
        <v>1143</v>
      </c>
      <c r="BG56" s="241">
        <f t="shared" si="61"/>
        <v>6.055308328035601E-2</v>
      </c>
      <c r="BH56" s="78">
        <v>3162</v>
      </c>
      <c r="BI56" s="78"/>
      <c r="BJ56" s="78"/>
      <c r="BK56" s="78"/>
      <c r="BL56" s="487">
        <f t="shared" si="31"/>
        <v>23181</v>
      </c>
      <c r="BM56" s="487">
        <f t="shared" si="62"/>
        <v>3300.2195399999982</v>
      </c>
      <c r="BN56" s="487">
        <v>14784</v>
      </c>
      <c r="BO56" s="595">
        <v>19091</v>
      </c>
      <c r="BP56" s="39">
        <f t="shared" si="33"/>
        <v>-928</v>
      </c>
      <c r="BQ56" s="579">
        <f t="shared" si="63"/>
        <v>0.16600050217545625</v>
      </c>
      <c r="BR56" s="99">
        <f t="shared" si="34"/>
        <v>-4.6355961836255559E-2</v>
      </c>
      <c r="BS56" s="487">
        <v>3377</v>
      </c>
      <c r="BV56" s="487">
        <v>107</v>
      </c>
      <c r="BW56" s="39">
        <f t="shared" si="64"/>
        <v>18268</v>
      </c>
      <c r="BX56" s="39">
        <f t="shared" si="65"/>
        <v>-4913</v>
      </c>
      <c r="BY56" s="51">
        <f t="shared" si="66"/>
        <v>-0.21194081359734265</v>
      </c>
    </row>
    <row r="57" spans="1:77" ht="18" customHeight="1">
      <c r="A57" s="59" t="s">
        <v>94</v>
      </c>
      <c r="B57" s="325" t="s">
        <v>78</v>
      </c>
      <c r="C57" s="325" t="s">
        <v>78</v>
      </c>
      <c r="D57" s="325" t="s">
        <v>78</v>
      </c>
      <c r="E57" s="325" t="s">
        <v>78</v>
      </c>
      <c r="F57" s="325">
        <v>0</v>
      </c>
      <c r="G57" s="325" t="s">
        <v>78</v>
      </c>
      <c r="H57" s="325" t="s">
        <v>78</v>
      </c>
      <c r="I57" s="325">
        <v>0</v>
      </c>
      <c r="J57" s="10">
        <f t="shared" si="69"/>
        <v>0</v>
      </c>
      <c r="K57" s="325" t="s">
        <v>78</v>
      </c>
      <c r="L57" s="66">
        <v>0</v>
      </c>
      <c r="M57" s="52">
        <v>0</v>
      </c>
      <c r="N57" s="60" t="s">
        <v>78</v>
      </c>
      <c r="O57" s="66">
        <v>0</v>
      </c>
      <c r="P57" s="66">
        <v>0</v>
      </c>
      <c r="Q57" s="60" t="s">
        <v>78</v>
      </c>
      <c r="R57" s="52">
        <v>10903</v>
      </c>
      <c r="S57" s="52">
        <f t="shared" si="49"/>
        <v>10903</v>
      </c>
      <c r="T57" s="60" t="s">
        <v>78</v>
      </c>
      <c r="U57" s="52">
        <v>22730</v>
      </c>
      <c r="V57" s="52">
        <f t="shared" si="71"/>
        <v>11827</v>
      </c>
      <c r="W57" s="58">
        <f t="shared" si="72"/>
        <v>1.0847473172521325</v>
      </c>
      <c r="X57" s="166">
        <v>30983</v>
      </c>
      <c r="Y57" s="52">
        <f t="shared" si="51"/>
        <v>8253</v>
      </c>
      <c r="Z57" s="95">
        <f t="shared" si="52"/>
        <v>0.36308842938847341</v>
      </c>
      <c r="AA57" s="202">
        <v>30983</v>
      </c>
      <c r="AB57" s="172">
        <f t="shared" si="53"/>
        <v>0</v>
      </c>
      <c r="AC57" s="100">
        <f t="shared" si="54"/>
        <v>0</v>
      </c>
      <c r="AD57" s="219">
        <v>25103</v>
      </c>
      <c r="AE57" s="219"/>
      <c r="AF57" s="52">
        <v>25103</v>
      </c>
      <c r="AG57" s="52">
        <f t="shared" si="55"/>
        <v>-5880</v>
      </c>
      <c r="AH57" s="58">
        <f t="shared" si="56"/>
        <v>-0.18978149307684861</v>
      </c>
      <c r="AI57" s="246">
        <f>AF57</f>
        <v>25103</v>
      </c>
      <c r="AJ57" s="246">
        <f>AF57</f>
        <v>25103</v>
      </c>
      <c r="AK57" s="65">
        <v>16457</v>
      </c>
      <c r="AL57" s="50">
        <v>9000</v>
      </c>
      <c r="AM57" s="256">
        <f t="shared" si="57"/>
        <v>25457</v>
      </c>
      <c r="AN57" s="220">
        <v>24823</v>
      </c>
      <c r="AO57" s="220">
        <v>24823</v>
      </c>
      <c r="AP57" s="534">
        <v>0</v>
      </c>
      <c r="AQ57" s="534">
        <v>0</v>
      </c>
      <c r="AR57" s="39">
        <f t="shared" si="73"/>
        <v>0</v>
      </c>
      <c r="AS57" s="62">
        <f t="shared" si="74"/>
        <v>22822.88351</v>
      </c>
      <c r="AT57" s="65">
        <f t="shared" si="75"/>
        <v>-2280.1164900000003</v>
      </c>
      <c r="AU57" s="51">
        <f t="shared" si="76"/>
        <v>-9.0830438194638111E-2</v>
      </c>
      <c r="AV57" s="65">
        <f t="shared" si="58"/>
        <v>-2280.1164900000003</v>
      </c>
      <c r="AW57" s="51">
        <f t="shared" si="59"/>
        <v>-9.0830438194638111E-2</v>
      </c>
      <c r="AX57" s="52">
        <v>22823</v>
      </c>
      <c r="AY57" s="52">
        <f t="shared" si="27"/>
        <v>-2280</v>
      </c>
      <c r="AZ57" s="58">
        <f t="shared" si="28"/>
        <v>-9.0825797713420711E-2</v>
      </c>
      <c r="BA57" s="616">
        <v>22822.88351</v>
      </c>
      <c r="BB57" s="616">
        <v>22822.88351</v>
      </c>
      <c r="BC57" s="616">
        <f t="shared" si="77"/>
        <v>0</v>
      </c>
      <c r="BD57" s="31">
        <f t="shared" si="78"/>
        <v>0</v>
      </c>
      <c r="BE57" s="52">
        <v>22000</v>
      </c>
      <c r="BF57" s="52">
        <f t="shared" si="60"/>
        <v>-823</v>
      </c>
      <c r="BG57" s="58">
        <f t="shared" si="61"/>
        <v>-3.6060114796477236E-2</v>
      </c>
      <c r="BH57" s="65"/>
      <c r="BI57" s="65"/>
      <c r="BJ57" s="65"/>
      <c r="BK57" s="65"/>
      <c r="BL57" s="39">
        <f t="shared" si="31"/>
        <v>22000</v>
      </c>
      <c r="BM57" s="39">
        <f t="shared" si="62"/>
        <v>-822.88350999999966</v>
      </c>
      <c r="BN57" s="39">
        <v>30182</v>
      </c>
      <c r="BO57" s="534">
        <v>14213</v>
      </c>
      <c r="BP57" s="39">
        <f t="shared" si="33"/>
        <v>-7787</v>
      </c>
      <c r="BQ57" s="51">
        <f t="shared" si="63"/>
        <v>-3.605519476272346E-2</v>
      </c>
      <c r="BR57" s="99">
        <f t="shared" si="34"/>
        <v>-0.35395454545454547</v>
      </c>
      <c r="BV57" s="39"/>
      <c r="BW57" s="39">
        <f t="shared" si="64"/>
        <v>30182</v>
      </c>
      <c r="BX57" s="39">
        <f t="shared" si="65"/>
        <v>8182</v>
      </c>
      <c r="BY57" s="51">
        <f t="shared" si="66"/>
        <v>0.37190909090909091</v>
      </c>
    </row>
    <row r="58" spans="1:77" s="79" customFormat="1" ht="18" customHeight="1">
      <c r="A58" s="59" t="s">
        <v>8</v>
      </c>
      <c r="B58" s="323">
        <f>11253+12536</f>
        <v>23789</v>
      </c>
      <c r="C58" s="323">
        <f>12289+14196</f>
        <v>26485</v>
      </c>
      <c r="D58" s="323">
        <f t="shared" si="67"/>
        <v>2696</v>
      </c>
      <c r="E58" s="352">
        <f t="shared" si="79"/>
        <v>0.11332969019294632</v>
      </c>
      <c r="F58" s="582">
        <f>8419+15527</f>
        <v>23946</v>
      </c>
      <c r="G58" s="582">
        <f t="shared" si="68"/>
        <v>-2539</v>
      </c>
      <c r="H58" s="274">
        <f t="shared" si="80"/>
        <v>-9.5865584292996034E-2</v>
      </c>
      <c r="I58" s="582">
        <f>12795+20753</f>
        <v>33548</v>
      </c>
      <c r="J58" s="582">
        <f t="shared" si="69"/>
        <v>9602</v>
      </c>
      <c r="K58" s="274">
        <f t="shared" si="81"/>
        <v>0.40098555082268439</v>
      </c>
      <c r="L58" s="62">
        <v>29873</v>
      </c>
      <c r="M58" s="62">
        <v>-3675</v>
      </c>
      <c r="N58" s="241">
        <v>-0.10954453320615237</v>
      </c>
      <c r="O58" s="62">
        <v>40290</v>
      </c>
      <c r="P58" s="62">
        <f t="shared" si="70"/>
        <v>10417</v>
      </c>
      <c r="Q58" s="241">
        <f t="shared" si="48"/>
        <v>0.34870953704013657</v>
      </c>
      <c r="R58" s="62">
        <v>48789</v>
      </c>
      <c r="S58" s="62">
        <f t="shared" si="49"/>
        <v>8499</v>
      </c>
      <c r="T58" s="241">
        <f t="shared" si="50"/>
        <v>0.21094564408041697</v>
      </c>
      <c r="U58" s="62">
        <v>70252</v>
      </c>
      <c r="V58" s="62">
        <f t="shared" si="71"/>
        <v>21463</v>
      </c>
      <c r="W58" s="241">
        <f t="shared" si="72"/>
        <v>0.43991473487876365</v>
      </c>
      <c r="X58" s="166">
        <v>111991</v>
      </c>
      <c r="Y58" s="62">
        <f t="shared" si="51"/>
        <v>41739</v>
      </c>
      <c r="Z58" s="95">
        <f t="shared" si="52"/>
        <v>0.59413255138643739</v>
      </c>
      <c r="AA58" s="202">
        <v>93251</v>
      </c>
      <c r="AB58" s="583">
        <f t="shared" si="53"/>
        <v>-18740</v>
      </c>
      <c r="AC58" s="584">
        <f t="shared" si="54"/>
        <v>-0.16733487512389389</v>
      </c>
      <c r="AD58" s="78">
        <v>57215</v>
      </c>
      <c r="AE58" s="78">
        <v>40771</v>
      </c>
      <c r="AF58" s="62">
        <v>78883</v>
      </c>
      <c r="AG58" s="62">
        <f t="shared" si="55"/>
        <v>-14368</v>
      </c>
      <c r="AH58" s="241">
        <f t="shared" si="56"/>
        <v>-0.15407877663510311</v>
      </c>
      <c r="AI58" s="537">
        <f>AF58-6</f>
        <v>78877</v>
      </c>
      <c r="AJ58" s="537">
        <f>AF58-6</f>
        <v>78877</v>
      </c>
      <c r="AK58" s="78">
        <v>33420</v>
      </c>
      <c r="AL58" s="585">
        <v>23420</v>
      </c>
      <c r="AM58" s="202">
        <f t="shared" si="57"/>
        <v>56840</v>
      </c>
      <c r="AN58" s="585">
        <v>37872</v>
      </c>
      <c r="AO58" s="585">
        <v>74366</v>
      </c>
      <c r="AP58" s="595">
        <v>8901</v>
      </c>
      <c r="AQ58" s="595">
        <v>737</v>
      </c>
      <c r="AR58" s="487">
        <f t="shared" si="73"/>
        <v>9638</v>
      </c>
      <c r="AS58" s="62">
        <f t="shared" si="74"/>
        <v>69549.239529999992</v>
      </c>
      <c r="AT58" s="78">
        <f t="shared" si="75"/>
        <v>-9333.7604700000084</v>
      </c>
      <c r="AU58" s="579">
        <f t="shared" si="76"/>
        <v>-0.1183241062079283</v>
      </c>
      <c r="AV58" s="78">
        <f t="shared" si="58"/>
        <v>-9333.7604700000084</v>
      </c>
      <c r="AW58" s="579">
        <f t="shared" si="59"/>
        <v>-0.1183241062079283</v>
      </c>
      <c r="AX58" s="62">
        <v>74405</v>
      </c>
      <c r="AY58" s="62">
        <f t="shared" si="27"/>
        <v>-4478</v>
      </c>
      <c r="AZ58" s="241">
        <f t="shared" si="28"/>
        <v>-5.6767617864432136E-2</v>
      </c>
      <c r="BA58" s="616">
        <f>38860.53801+36245.50726</f>
        <v>75106.045270000002</v>
      </c>
      <c r="BB58" s="616">
        <f>38147.82831+21763.41122</f>
        <v>59911.239529999999</v>
      </c>
      <c r="BC58" s="616">
        <f t="shared" si="77"/>
        <v>15194.805740000003</v>
      </c>
      <c r="BD58" s="31">
        <f t="shared" si="78"/>
        <v>0.20231135437068931</v>
      </c>
      <c r="BE58" s="62">
        <f>40654+29981</f>
        <v>70635</v>
      </c>
      <c r="BF58" s="62">
        <f t="shared" si="60"/>
        <v>-3770</v>
      </c>
      <c r="BG58" s="241">
        <f t="shared" si="61"/>
        <v>-5.0668637860358849E-2</v>
      </c>
      <c r="BH58" s="78">
        <v>5218</v>
      </c>
      <c r="BI58" s="78"/>
      <c r="BJ58" s="78"/>
      <c r="BK58" s="78">
        <v>75</v>
      </c>
      <c r="BL58" s="487">
        <f t="shared" si="31"/>
        <v>75928</v>
      </c>
      <c r="BM58" s="487">
        <f t="shared" si="62"/>
        <v>6378.7604700000084</v>
      </c>
      <c r="BN58" s="487">
        <v>78332</v>
      </c>
      <c r="BO58" s="595">
        <v>78332</v>
      </c>
      <c r="BP58" s="39">
        <f t="shared" si="33"/>
        <v>7697</v>
      </c>
      <c r="BQ58" s="579">
        <f t="shared" si="63"/>
        <v>9.1715747190140542E-2</v>
      </c>
      <c r="BR58" s="99">
        <f t="shared" si="34"/>
        <v>0.10896864160826786</v>
      </c>
      <c r="BS58" s="487">
        <v>5167</v>
      </c>
      <c r="BV58" s="487">
        <v>23</v>
      </c>
      <c r="BW58" s="39">
        <f t="shared" si="64"/>
        <v>83522</v>
      </c>
      <c r="BX58" s="39">
        <f t="shared" si="65"/>
        <v>7594</v>
      </c>
      <c r="BY58" s="51">
        <f t="shared" si="66"/>
        <v>0.10001580444631757</v>
      </c>
    </row>
    <row r="59" spans="1:77" ht="18" customHeight="1">
      <c r="A59" s="59" t="s">
        <v>165</v>
      </c>
      <c r="B59" s="323">
        <v>240</v>
      </c>
      <c r="C59" s="323">
        <v>240</v>
      </c>
      <c r="D59" s="323">
        <f t="shared" si="67"/>
        <v>0</v>
      </c>
      <c r="E59" s="352">
        <f t="shared" si="79"/>
        <v>0</v>
      </c>
      <c r="F59" s="10">
        <v>243</v>
      </c>
      <c r="G59" s="10">
        <f t="shared" si="68"/>
        <v>3</v>
      </c>
      <c r="H59" s="14">
        <f t="shared" si="80"/>
        <v>1.2500000000000001E-2</v>
      </c>
      <c r="I59" s="10">
        <v>260</v>
      </c>
      <c r="J59" s="10">
        <f t="shared" si="69"/>
        <v>17</v>
      </c>
      <c r="K59" s="14">
        <f t="shared" si="81"/>
        <v>6.9958847736625515E-2</v>
      </c>
      <c r="L59" s="52">
        <v>74</v>
      </c>
      <c r="M59" s="52">
        <v>-186</v>
      </c>
      <c r="N59" s="58">
        <v>-0.7153846153846154</v>
      </c>
      <c r="O59" s="66">
        <v>0</v>
      </c>
      <c r="P59" s="52">
        <f t="shared" si="70"/>
        <v>-74</v>
      </c>
      <c r="Q59" s="58">
        <f t="shared" si="48"/>
        <v>-1</v>
      </c>
      <c r="R59" s="52">
        <v>0</v>
      </c>
      <c r="S59" s="52">
        <f t="shared" si="49"/>
        <v>0</v>
      </c>
      <c r="T59" s="60" t="s">
        <v>78</v>
      </c>
      <c r="U59" s="67">
        <v>0</v>
      </c>
      <c r="V59" s="52">
        <f t="shared" si="71"/>
        <v>0</v>
      </c>
      <c r="W59" s="60" t="s">
        <v>78</v>
      </c>
      <c r="Y59" s="52"/>
      <c r="AB59" s="172"/>
      <c r="AC59" s="60"/>
      <c r="AG59" s="52">
        <f t="shared" si="55"/>
        <v>0</v>
      </c>
      <c r="AH59" s="58" t="e">
        <f t="shared" si="56"/>
        <v>#DIV/0!</v>
      </c>
      <c r="AI59" s="220">
        <v>0</v>
      </c>
      <c r="AJ59" s="220">
        <v>0</v>
      </c>
      <c r="AK59" s="65"/>
      <c r="AM59" s="256"/>
      <c r="AN59" s="220"/>
      <c r="AO59" s="220">
        <v>0</v>
      </c>
      <c r="AP59" s="534">
        <v>0</v>
      </c>
      <c r="AQ59" s="534">
        <v>0</v>
      </c>
      <c r="AR59" s="39">
        <f t="shared" si="73"/>
        <v>0</v>
      </c>
      <c r="AS59" s="62">
        <f t="shared" si="74"/>
        <v>0</v>
      </c>
      <c r="AT59" s="65">
        <f t="shared" si="75"/>
        <v>0</v>
      </c>
      <c r="AU59" s="51" t="e">
        <f t="shared" si="76"/>
        <v>#DIV/0!</v>
      </c>
      <c r="AV59" s="65">
        <f t="shared" si="58"/>
        <v>0</v>
      </c>
      <c r="AW59" s="51" t="e">
        <f t="shared" si="59"/>
        <v>#DIV/0!</v>
      </c>
      <c r="AY59" s="52">
        <f t="shared" si="27"/>
        <v>0</v>
      </c>
      <c r="AZ59" s="58" t="e">
        <f t="shared" si="28"/>
        <v>#DIV/0!</v>
      </c>
      <c r="BC59" s="616">
        <f t="shared" si="77"/>
        <v>0</v>
      </c>
      <c r="BD59" s="31"/>
      <c r="BF59" s="52">
        <f t="shared" si="60"/>
        <v>0</v>
      </c>
      <c r="BG59" s="58" t="e">
        <f t="shared" si="61"/>
        <v>#DIV/0!</v>
      </c>
      <c r="BH59" s="65"/>
      <c r="BI59" s="65"/>
      <c r="BJ59" s="65"/>
      <c r="BK59" s="65"/>
      <c r="BL59" s="39">
        <f t="shared" si="31"/>
        <v>0</v>
      </c>
      <c r="BM59" s="39">
        <f t="shared" si="62"/>
        <v>0</v>
      </c>
      <c r="BN59" s="39"/>
      <c r="BO59" s="534">
        <v>0</v>
      </c>
      <c r="BP59" s="39">
        <f t="shared" si="33"/>
        <v>0</v>
      </c>
      <c r="BQ59" s="51" t="e">
        <f t="shared" si="63"/>
        <v>#DIV/0!</v>
      </c>
      <c r="BR59" s="99" t="e">
        <f t="shared" si="34"/>
        <v>#DIV/0!</v>
      </c>
      <c r="BV59" s="39"/>
      <c r="BW59" s="39">
        <f t="shared" si="64"/>
        <v>0</v>
      </c>
      <c r="BX59" s="39">
        <f t="shared" si="65"/>
        <v>0</v>
      </c>
      <c r="BY59" s="51" t="e">
        <f t="shared" si="66"/>
        <v>#DIV/0!</v>
      </c>
    </row>
    <row r="60" spans="1:77" s="79" customFormat="1" ht="18" customHeight="1">
      <c r="A60" s="59" t="s">
        <v>66</v>
      </c>
      <c r="B60" s="323">
        <v>255</v>
      </c>
      <c r="C60" s="323">
        <v>283</v>
      </c>
      <c r="D60" s="323">
        <f t="shared" si="67"/>
        <v>28</v>
      </c>
      <c r="E60" s="352">
        <f t="shared" si="79"/>
        <v>0.10980392156862745</v>
      </c>
      <c r="F60" s="582">
        <v>274</v>
      </c>
      <c r="G60" s="582">
        <f t="shared" si="68"/>
        <v>-9</v>
      </c>
      <c r="H60" s="274">
        <f t="shared" si="80"/>
        <v>-3.1802120141342753E-2</v>
      </c>
      <c r="I60" s="582">
        <v>281</v>
      </c>
      <c r="J60" s="582">
        <f t="shared" si="69"/>
        <v>7</v>
      </c>
      <c r="K60" s="274">
        <f t="shared" si="81"/>
        <v>2.5547445255474453E-2</v>
      </c>
      <c r="L60" s="62">
        <v>336</v>
      </c>
      <c r="M60" s="62">
        <v>55</v>
      </c>
      <c r="N60" s="241">
        <v>0.19572953736654805</v>
      </c>
      <c r="O60" s="62">
        <v>337</v>
      </c>
      <c r="P60" s="62">
        <f t="shared" si="70"/>
        <v>1</v>
      </c>
      <c r="Q60" s="241">
        <f t="shared" si="48"/>
        <v>2.976190476190476E-3</v>
      </c>
      <c r="R60" s="62">
        <v>408</v>
      </c>
      <c r="S60" s="62">
        <f t="shared" si="49"/>
        <v>71</v>
      </c>
      <c r="T60" s="241">
        <f t="shared" si="50"/>
        <v>0.21068249258160238</v>
      </c>
      <c r="U60" s="596">
        <v>519</v>
      </c>
      <c r="V60" s="62">
        <f t="shared" si="71"/>
        <v>111</v>
      </c>
      <c r="W60" s="241">
        <f t="shared" si="72"/>
        <v>0.27205882352941174</v>
      </c>
      <c r="X60" s="166">
        <v>693</v>
      </c>
      <c r="Y60" s="62">
        <f>X60-U60</f>
        <v>174</v>
      </c>
      <c r="Z60" s="95">
        <f>Y60/U60</f>
        <v>0.33526011560693642</v>
      </c>
      <c r="AA60" s="202">
        <v>708</v>
      </c>
      <c r="AB60" s="583">
        <f>AA60-X60</f>
        <v>15</v>
      </c>
      <c r="AC60" s="584">
        <f>AB60/X60</f>
        <v>2.1645021645021644E-2</v>
      </c>
      <c r="AD60" s="537">
        <v>698</v>
      </c>
      <c r="AE60" s="537"/>
      <c r="AF60" s="62">
        <v>645</v>
      </c>
      <c r="AG60" s="62">
        <f t="shared" si="55"/>
        <v>-63</v>
      </c>
      <c r="AH60" s="241">
        <f t="shared" si="56"/>
        <v>-8.8983050847457626E-2</v>
      </c>
      <c r="AI60" s="537">
        <f>AF60</f>
        <v>645</v>
      </c>
      <c r="AJ60" s="537">
        <f>AF60</f>
        <v>645</v>
      </c>
      <c r="AK60" s="78">
        <v>716</v>
      </c>
      <c r="AM60" s="202">
        <f t="shared" si="57"/>
        <v>716</v>
      </c>
      <c r="AN60" s="585">
        <v>734</v>
      </c>
      <c r="AO60" s="585">
        <v>734</v>
      </c>
      <c r="AP60" s="595">
        <v>47</v>
      </c>
      <c r="AQ60" s="595">
        <v>0</v>
      </c>
      <c r="AR60" s="487">
        <f t="shared" si="73"/>
        <v>47</v>
      </c>
      <c r="AS60" s="62">
        <f t="shared" si="74"/>
        <v>1109.6933300000001</v>
      </c>
      <c r="AT60" s="78">
        <f t="shared" si="75"/>
        <v>464.69333000000006</v>
      </c>
      <c r="AU60" s="579">
        <f t="shared" si="76"/>
        <v>0.72045477519379852</v>
      </c>
      <c r="AV60" s="78">
        <f t="shared" si="58"/>
        <v>464.69333000000006</v>
      </c>
      <c r="AW60" s="579">
        <f t="shared" si="59"/>
        <v>0.72045477519379852</v>
      </c>
      <c r="AX60" s="62">
        <v>1254</v>
      </c>
      <c r="AY60" s="62">
        <f t="shared" si="27"/>
        <v>609</v>
      </c>
      <c r="AZ60" s="241">
        <f t="shared" si="28"/>
        <v>0.94418604651162785</v>
      </c>
      <c r="BA60" s="616">
        <v>1254.2058400000001</v>
      </c>
      <c r="BB60" s="616">
        <v>1062.6933300000001</v>
      </c>
      <c r="BC60" s="616">
        <f t="shared" si="77"/>
        <v>191.51251000000002</v>
      </c>
      <c r="BD60" s="31">
        <f t="shared" si="78"/>
        <v>0.1526962352527397</v>
      </c>
      <c r="BE60" s="62">
        <v>1631</v>
      </c>
      <c r="BF60" s="62">
        <f t="shared" si="60"/>
        <v>377</v>
      </c>
      <c r="BG60" s="241">
        <f t="shared" si="61"/>
        <v>0.30063795853269537</v>
      </c>
      <c r="BH60" s="78">
        <v>37</v>
      </c>
      <c r="BI60" s="78"/>
      <c r="BJ60" s="78"/>
      <c r="BK60" s="78">
        <v>4</v>
      </c>
      <c r="BL60" s="487">
        <f t="shared" si="31"/>
        <v>1672</v>
      </c>
      <c r="BM60" s="487">
        <f t="shared" si="62"/>
        <v>562.30666999999994</v>
      </c>
      <c r="BN60" s="487">
        <v>1663</v>
      </c>
      <c r="BO60" s="595">
        <v>1663</v>
      </c>
      <c r="BP60" s="39">
        <f t="shared" si="33"/>
        <v>32</v>
      </c>
      <c r="BQ60" s="579">
        <f t="shared" si="63"/>
        <v>0.50672258253548297</v>
      </c>
      <c r="BR60" s="99">
        <f t="shared" si="34"/>
        <v>1.9619865113427344E-2</v>
      </c>
      <c r="BS60" s="487">
        <v>69</v>
      </c>
      <c r="BV60" s="487">
        <v>0</v>
      </c>
      <c r="BW60" s="39">
        <f t="shared" si="64"/>
        <v>1732</v>
      </c>
      <c r="BX60" s="39">
        <f t="shared" si="65"/>
        <v>60</v>
      </c>
      <c r="BY60" s="51">
        <f t="shared" si="66"/>
        <v>3.5885167464114832E-2</v>
      </c>
    </row>
    <row r="61" spans="1:77" s="79" customFormat="1" ht="18" customHeight="1">
      <c r="A61" s="53" t="s">
        <v>67</v>
      </c>
      <c r="B61" s="323">
        <f>25172+1127</f>
        <v>26299</v>
      </c>
      <c r="C61" s="323">
        <f>23865+1138</f>
        <v>25003</v>
      </c>
      <c r="D61" s="323">
        <f t="shared" si="67"/>
        <v>-1296</v>
      </c>
      <c r="E61" s="352">
        <f t="shared" si="79"/>
        <v>-4.9279440282900489E-2</v>
      </c>
      <c r="F61" s="11">
        <f>25662+1483</f>
        <v>27145</v>
      </c>
      <c r="G61" s="582">
        <f t="shared" si="68"/>
        <v>2142</v>
      </c>
      <c r="H61" s="274">
        <f t="shared" si="80"/>
        <v>8.5669719633643962E-2</v>
      </c>
      <c r="I61" s="11">
        <f>24031+5674</f>
        <v>29705</v>
      </c>
      <c r="J61" s="582">
        <f t="shared" si="69"/>
        <v>2560</v>
      </c>
      <c r="K61" s="274">
        <f t="shared" si="81"/>
        <v>9.4308344078099099E-2</v>
      </c>
      <c r="L61" s="155">
        <v>30756</v>
      </c>
      <c r="M61" s="62">
        <v>1051</v>
      </c>
      <c r="N61" s="241">
        <v>3.5381248947988553E-2</v>
      </c>
      <c r="O61" s="155">
        <v>34942</v>
      </c>
      <c r="P61" s="155">
        <f t="shared" si="70"/>
        <v>4186</v>
      </c>
      <c r="Q61" s="241">
        <f t="shared" si="48"/>
        <v>0.1361035245155417</v>
      </c>
      <c r="R61" s="62">
        <v>41516</v>
      </c>
      <c r="S61" s="62">
        <f t="shared" si="49"/>
        <v>6574</v>
      </c>
      <c r="T61" s="241">
        <f t="shared" si="50"/>
        <v>0.1881403468605117</v>
      </c>
      <c r="U61" s="596">
        <v>41690</v>
      </c>
      <c r="V61" s="62">
        <f t="shared" si="71"/>
        <v>174</v>
      </c>
      <c r="W61" s="241">
        <f t="shared" si="72"/>
        <v>4.1911552172656328E-3</v>
      </c>
      <c r="X61" s="166">
        <v>37395</v>
      </c>
      <c r="Y61" s="62">
        <f>X61-U61</f>
        <v>-4295</v>
      </c>
      <c r="Z61" s="95">
        <f>Y61/U61</f>
        <v>-0.10302230750779563</v>
      </c>
      <c r="AA61" s="202">
        <v>36938</v>
      </c>
      <c r="AB61" s="583">
        <f>AA61-X61</f>
        <v>-457</v>
      </c>
      <c r="AC61" s="584">
        <f>AB61/X61</f>
        <v>-1.2220885145072871E-2</v>
      </c>
      <c r="AD61" s="78">
        <v>13258</v>
      </c>
      <c r="AE61" s="78">
        <v>21875</v>
      </c>
      <c r="AF61" s="62">
        <v>32251</v>
      </c>
      <c r="AG61" s="62">
        <f t="shared" si="55"/>
        <v>-4687</v>
      </c>
      <c r="AH61" s="241">
        <f t="shared" si="56"/>
        <v>-0.12688829931236126</v>
      </c>
      <c r="AI61" s="537">
        <f>AF61+1278</f>
        <v>33529</v>
      </c>
      <c r="AJ61" s="537">
        <f>AF61-681</f>
        <v>31570</v>
      </c>
      <c r="AK61" s="78">
        <v>13821</v>
      </c>
      <c r="AM61" s="202">
        <f t="shared" si="57"/>
        <v>13821</v>
      </c>
      <c r="AN61" s="585">
        <v>8061</v>
      </c>
      <c r="AO61" s="585">
        <v>25592</v>
      </c>
      <c r="AP61" s="595">
        <v>6036</v>
      </c>
      <c r="AQ61" s="595">
        <v>402</v>
      </c>
      <c r="AR61" s="487">
        <f t="shared" si="73"/>
        <v>6438</v>
      </c>
      <c r="AS61" s="62">
        <f t="shared" si="74"/>
        <v>28136.326290000001</v>
      </c>
      <c r="AT61" s="78">
        <f t="shared" si="75"/>
        <v>-4114.6737099999991</v>
      </c>
      <c r="AU61" s="579">
        <f t="shared" si="76"/>
        <v>-0.12758282564881707</v>
      </c>
      <c r="AV61" s="78">
        <f t="shared" si="58"/>
        <v>-4114.6737099999991</v>
      </c>
      <c r="AW61" s="579">
        <f t="shared" si="59"/>
        <v>-0.12758282564881707</v>
      </c>
      <c r="AX61" s="62">
        <f>24715</f>
        <v>24715</v>
      </c>
      <c r="AY61" s="62">
        <f t="shared" si="27"/>
        <v>-7536</v>
      </c>
      <c r="AZ61" s="241">
        <f t="shared" si="28"/>
        <v>-0.23366717311091129</v>
      </c>
      <c r="BA61" s="616">
        <f>7871.09065+16243.401</f>
        <v>24114.49165</v>
      </c>
      <c r="BB61" s="616">
        <f>7624.17191+14074.15438</f>
        <v>21698.326290000001</v>
      </c>
      <c r="BC61" s="616">
        <f t="shared" si="77"/>
        <v>2416.1653599999991</v>
      </c>
      <c r="BD61" s="31">
        <f t="shared" si="78"/>
        <v>0.10019557513666265</v>
      </c>
      <c r="BE61" s="62">
        <f>26031</f>
        <v>26031</v>
      </c>
      <c r="BF61" s="62">
        <f t="shared" si="60"/>
        <v>1316</v>
      </c>
      <c r="BG61" s="241">
        <f t="shared" si="61"/>
        <v>5.3247015982197048E-2</v>
      </c>
      <c r="BH61" s="78">
        <v>6492</v>
      </c>
      <c r="BI61" s="78"/>
      <c r="BJ61" s="78"/>
      <c r="BK61" s="78">
        <v>543</v>
      </c>
      <c r="BL61" s="487">
        <f t="shared" si="31"/>
        <v>33066</v>
      </c>
      <c r="BM61" s="487">
        <f t="shared" si="62"/>
        <v>4929.6737099999991</v>
      </c>
      <c r="BN61" s="487">
        <v>33149</v>
      </c>
      <c r="BO61" s="595">
        <v>32952</v>
      </c>
      <c r="BP61" s="39">
        <f t="shared" si="33"/>
        <v>6921</v>
      </c>
      <c r="BQ61" s="579">
        <f t="shared" si="63"/>
        <v>0.17520672952076427</v>
      </c>
      <c r="BR61" s="99">
        <f t="shared" si="34"/>
        <v>0.26587530252391378</v>
      </c>
      <c r="BS61" s="487">
        <v>6693</v>
      </c>
      <c r="BV61" s="487">
        <v>249</v>
      </c>
      <c r="BW61" s="39">
        <f t="shared" si="64"/>
        <v>40091</v>
      </c>
      <c r="BX61" s="39">
        <f t="shared" si="65"/>
        <v>7025</v>
      </c>
      <c r="BY61" s="51">
        <f t="shared" si="66"/>
        <v>0.21245388011855076</v>
      </c>
    </row>
    <row r="62" spans="1:77" ht="18" customHeight="1">
      <c r="A62" s="53" t="s">
        <v>166</v>
      </c>
      <c r="B62" s="324" t="s">
        <v>78</v>
      </c>
      <c r="C62" s="324" t="s">
        <v>78</v>
      </c>
      <c r="D62" s="324" t="s">
        <v>78</v>
      </c>
      <c r="E62" s="324" t="s">
        <v>78</v>
      </c>
      <c r="F62" s="324" t="s">
        <v>78</v>
      </c>
      <c r="G62" s="324" t="s">
        <v>78</v>
      </c>
      <c r="H62" s="324" t="s">
        <v>78</v>
      </c>
      <c r="I62" s="324" t="s">
        <v>78</v>
      </c>
      <c r="J62" s="324" t="s">
        <v>78</v>
      </c>
      <c r="K62" s="324" t="s">
        <v>78</v>
      </c>
      <c r="L62" s="69">
        <v>0</v>
      </c>
      <c r="M62" s="52">
        <v>0</v>
      </c>
      <c r="N62" s="60" t="s">
        <v>78</v>
      </c>
      <c r="O62" s="69">
        <v>0</v>
      </c>
      <c r="P62" s="69">
        <f t="shared" si="70"/>
        <v>0</v>
      </c>
      <c r="Q62" s="60" t="s">
        <v>78</v>
      </c>
      <c r="R62" s="52">
        <v>0</v>
      </c>
      <c r="S62" s="52">
        <f t="shared" si="49"/>
        <v>0</v>
      </c>
      <c r="T62" s="60" t="s">
        <v>78</v>
      </c>
      <c r="U62" s="68">
        <v>0</v>
      </c>
      <c r="V62" s="52">
        <f t="shared" si="71"/>
        <v>0</v>
      </c>
      <c r="W62" s="60" t="s">
        <v>78</v>
      </c>
      <c r="X62" s="166">
        <v>1523</v>
      </c>
      <c r="Y62" s="52">
        <f>X62-U62</f>
        <v>1523</v>
      </c>
      <c r="AA62" s="202">
        <v>2530</v>
      </c>
      <c r="AB62" s="172">
        <f>AA62-X62</f>
        <v>1007</v>
      </c>
      <c r="AC62" s="100">
        <f>AB62/X62</f>
        <v>0.66119500984898227</v>
      </c>
      <c r="AD62" s="219">
        <v>560</v>
      </c>
      <c r="AE62" s="219">
        <v>3007</v>
      </c>
      <c r="AF62" s="52">
        <v>2319</v>
      </c>
      <c r="AG62" s="52">
        <f t="shared" si="55"/>
        <v>-211</v>
      </c>
      <c r="AH62" s="58">
        <f t="shared" si="56"/>
        <v>-8.3399209486166012E-2</v>
      </c>
      <c r="AI62" s="219">
        <f>AF62</f>
        <v>2319</v>
      </c>
      <c r="AJ62" s="219">
        <f>AF62-793</f>
        <v>1526</v>
      </c>
      <c r="AK62" s="65">
        <v>815</v>
      </c>
      <c r="AM62" s="256">
        <f t="shared" si="57"/>
        <v>815</v>
      </c>
      <c r="AN62" s="220">
        <v>0</v>
      </c>
      <c r="AO62" s="220">
        <v>1570</v>
      </c>
      <c r="AP62" s="534">
        <v>0</v>
      </c>
      <c r="AQ62" s="534">
        <v>0</v>
      </c>
      <c r="AR62" s="39">
        <f t="shared" si="73"/>
        <v>0</v>
      </c>
      <c r="AS62" s="62">
        <f t="shared" si="74"/>
        <v>1755.4464200000002</v>
      </c>
      <c r="AT62" s="65">
        <f t="shared" si="75"/>
        <v>-563.55357999999978</v>
      </c>
      <c r="AU62" s="51">
        <f t="shared" si="76"/>
        <v>-0.24301577404053462</v>
      </c>
      <c r="AV62" s="65">
        <f t="shared" si="58"/>
        <v>-563.55357999999978</v>
      </c>
      <c r="AW62" s="51">
        <f t="shared" si="59"/>
        <v>-0.24301577404053462</v>
      </c>
      <c r="AX62" s="52">
        <v>1816</v>
      </c>
      <c r="AY62" s="52">
        <f t="shared" si="27"/>
        <v>-503</v>
      </c>
      <c r="AZ62" s="58">
        <f t="shared" si="28"/>
        <v>-0.21690383786114706</v>
      </c>
      <c r="BA62" s="616">
        <f>645.16693+1231.02768</f>
        <v>1876.19461</v>
      </c>
      <c r="BB62" s="616">
        <f>560.40051+1195.04591</f>
        <v>1755.4464200000002</v>
      </c>
      <c r="BC62" s="616">
        <f t="shared" si="77"/>
        <v>120.74818999999979</v>
      </c>
      <c r="BD62" s="31">
        <f t="shared" si="78"/>
        <v>6.4358030535009256E-2</v>
      </c>
      <c r="BE62" s="52">
        <v>1924</v>
      </c>
      <c r="BF62" s="52">
        <f t="shared" si="60"/>
        <v>108</v>
      </c>
      <c r="BG62" s="58">
        <f t="shared" si="61"/>
        <v>5.9471365638766517E-2</v>
      </c>
      <c r="BH62" s="65"/>
      <c r="BI62" s="65"/>
      <c r="BJ62" s="65"/>
      <c r="BK62" s="65">
        <v>26</v>
      </c>
      <c r="BL62" s="39">
        <f t="shared" si="31"/>
        <v>1950</v>
      </c>
      <c r="BM62" s="39">
        <f t="shared" si="62"/>
        <v>194.55357999999978</v>
      </c>
      <c r="BN62" s="39">
        <v>1961</v>
      </c>
      <c r="BO62" s="534">
        <v>2064</v>
      </c>
      <c r="BP62" s="39">
        <f t="shared" si="33"/>
        <v>140</v>
      </c>
      <c r="BQ62" s="51">
        <f t="shared" si="63"/>
        <v>0.1108285492416224</v>
      </c>
      <c r="BR62" s="99">
        <f t="shared" si="34"/>
        <v>7.2765072765072769E-2</v>
      </c>
      <c r="BS62" s="39">
        <v>155</v>
      </c>
      <c r="BV62" s="39">
        <v>0</v>
      </c>
      <c r="BW62" s="39">
        <f t="shared" si="64"/>
        <v>2116</v>
      </c>
      <c r="BX62" s="39">
        <f t="shared" si="65"/>
        <v>166</v>
      </c>
      <c r="BY62" s="51">
        <f t="shared" si="66"/>
        <v>8.5128205128205126E-2</v>
      </c>
    </row>
    <row r="63" spans="1:77" s="79" customFormat="1" ht="18" customHeight="1">
      <c r="A63" s="245" t="s">
        <v>371</v>
      </c>
      <c r="B63" s="593" t="s">
        <v>78</v>
      </c>
      <c r="C63" s="593" t="s">
        <v>78</v>
      </c>
      <c r="D63" s="587" t="s">
        <v>78</v>
      </c>
      <c r="E63" s="587" t="s">
        <v>78</v>
      </c>
      <c r="F63" s="11">
        <v>1736</v>
      </c>
      <c r="G63" s="587" t="s">
        <v>78</v>
      </c>
      <c r="H63" s="587" t="s">
        <v>78</v>
      </c>
      <c r="I63" s="11">
        <v>1691</v>
      </c>
      <c r="J63" s="582">
        <f t="shared" si="69"/>
        <v>-45</v>
      </c>
      <c r="K63" s="274">
        <f t="shared" si="81"/>
        <v>-2.5921658986175114E-2</v>
      </c>
      <c r="L63" s="155">
        <v>2358</v>
      </c>
      <c r="M63" s="62">
        <v>357</v>
      </c>
      <c r="N63" s="241">
        <v>3.8185902235533212E-2</v>
      </c>
      <c r="O63" s="155">
        <v>4135</v>
      </c>
      <c r="P63" s="155">
        <f t="shared" ref="P63:P74" si="82">O63-L63</f>
        <v>1777</v>
      </c>
      <c r="Q63" s="241">
        <f t="shared" si="48"/>
        <v>0.75360474978795589</v>
      </c>
      <c r="R63" s="155">
        <v>8595</v>
      </c>
      <c r="S63" s="155">
        <f t="shared" si="49"/>
        <v>4460</v>
      </c>
      <c r="T63" s="241">
        <f t="shared" si="50"/>
        <v>1.0785973397823458</v>
      </c>
      <c r="U63" s="596">
        <v>10032</v>
      </c>
      <c r="V63" s="62">
        <f t="shared" si="71"/>
        <v>1437</v>
      </c>
      <c r="W63" s="241">
        <f t="shared" si="72"/>
        <v>0.16719022687609075</v>
      </c>
      <c r="X63" s="166">
        <v>9902</v>
      </c>
      <c r="Y63" s="62">
        <f>X63-U63</f>
        <v>-130</v>
      </c>
      <c r="Z63" s="95">
        <f>Y63/U63</f>
        <v>-1.2958532695374801E-2</v>
      </c>
      <c r="AA63" s="202">
        <v>13627</v>
      </c>
      <c r="AB63" s="583">
        <f>AA63-X63</f>
        <v>3725</v>
      </c>
      <c r="AC63" s="584">
        <f>AB63/X63</f>
        <v>0.37618662896384569</v>
      </c>
      <c r="AD63" s="78">
        <v>5434</v>
      </c>
      <c r="AE63" s="78">
        <v>400</v>
      </c>
      <c r="AF63" s="62">
        <v>5211</v>
      </c>
      <c r="AG63" s="62">
        <f t="shared" si="55"/>
        <v>-8416</v>
      </c>
      <c r="AH63" s="241">
        <f t="shared" si="56"/>
        <v>-0.61759741689293313</v>
      </c>
      <c r="AI63" s="537">
        <f>AF63-44</f>
        <v>5167</v>
      </c>
      <c r="AJ63" s="537">
        <f>AF63-44</f>
        <v>5167</v>
      </c>
      <c r="AK63" s="78">
        <v>3485</v>
      </c>
      <c r="AL63" s="585">
        <v>2000</v>
      </c>
      <c r="AM63" s="202">
        <f t="shared" si="57"/>
        <v>5485</v>
      </c>
      <c r="AN63" s="585">
        <v>4940</v>
      </c>
      <c r="AO63" s="585">
        <v>5111</v>
      </c>
      <c r="AP63" s="595">
        <v>210</v>
      </c>
      <c r="AQ63" s="595">
        <v>3</v>
      </c>
      <c r="AR63" s="487">
        <f t="shared" si="73"/>
        <v>213</v>
      </c>
      <c r="AS63" s="62">
        <f t="shared" si="74"/>
        <v>4936.61481</v>
      </c>
      <c r="AT63" s="78">
        <f t="shared" si="75"/>
        <v>-274.38518999999997</v>
      </c>
      <c r="AU63" s="579">
        <f t="shared" si="76"/>
        <v>-5.2654997121473798E-2</v>
      </c>
      <c r="AV63" s="78">
        <f t="shared" si="58"/>
        <v>-274.38518999999997</v>
      </c>
      <c r="AW63" s="579">
        <f t="shared" si="59"/>
        <v>-5.2654997121473798E-2</v>
      </c>
      <c r="AX63" s="62">
        <f>4532</f>
        <v>4532</v>
      </c>
      <c r="AY63" s="62">
        <f t="shared" si="27"/>
        <v>-679</v>
      </c>
      <c r="AZ63" s="241">
        <f t="shared" si="28"/>
        <v>-0.13030128574170025</v>
      </c>
      <c r="BA63" s="616">
        <f>4361.981+645.85</f>
        <v>5007.8310000000001</v>
      </c>
      <c r="BB63" s="616">
        <f>4182.07981+541.535</f>
        <v>4723.61481</v>
      </c>
      <c r="BC63" s="616">
        <f t="shared" si="77"/>
        <v>284.2161900000001</v>
      </c>
      <c r="BD63" s="31">
        <f t="shared" si="78"/>
        <v>5.6754349338066737E-2</v>
      </c>
      <c r="BE63" s="62">
        <f>4020</f>
        <v>4020</v>
      </c>
      <c r="BF63" s="62">
        <f t="shared" si="60"/>
        <v>-512</v>
      </c>
      <c r="BG63" s="241">
        <f t="shared" si="61"/>
        <v>-0.11297440423654016</v>
      </c>
      <c r="BH63" s="78">
        <v>403</v>
      </c>
      <c r="BI63" s="78"/>
      <c r="BJ63" s="78"/>
      <c r="BK63" s="78">
        <v>32</v>
      </c>
      <c r="BL63" s="487">
        <f t="shared" si="31"/>
        <v>4455</v>
      </c>
      <c r="BM63" s="487">
        <f t="shared" si="62"/>
        <v>-481.61481000000003</v>
      </c>
      <c r="BN63" s="487">
        <v>4390</v>
      </c>
      <c r="BO63" s="595">
        <v>11190</v>
      </c>
      <c r="BP63" s="39">
        <f t="shared" si="33"/>
        <v>7170</v>
      </c>
      <c r="BQ63" s="579">
        <f t="shared" si="63"/>
        <v>-9.7559730409673195E-2</v>
      </c>
      <c r="BR63" s="99">
        <f t="shared" si="34"/>
        <v>1.7835820895522387</v>
      </c>
      <c r="BS63" s="487">
        <v>833</v>
      </c>
      <c r="BV63" s="487">
        <v>0</v>
      </c>
      <c r="BW63" s="39">
        <f t="shared" si="64"/>
        <v>5223</v>
      </c>
      <c r="BX63" s="39">
        <f t="shared" si="65"/>
        <v>768</v>
      </c>
      <c r="BY63" s="51">
        <f t="shared" si="66"/>
        <v>0.1723905723905724</v>
      </c>
    </row>
    <row r="64" spans="1:77" ht="18" customHeight="1">
      <c r="A64" s="63" t="s">
        <v>108</v>
      </c>
      <c r="B64" s="323">
        <v>0</v>
      </c>
      <c r="C64" s="323">
        <v>0</v>
      </c>
      <c r="D64" s="323">
        <f t="shared" si="67"/>
        <v>0</v>
      </c>
      <c r="E64" s="324" t="s">
        <v>78</v>
      </c>
      <c r="F64" s="325">
        <v>1976</v>
      </c>
      <c r="G64" s="10">
        <f t="shared" si="68"/>
        <v>1976</v>
      </c>
      <c r="H64" s="324" t="s">
        <v>78</v>
      </c>
      <c r="I64" s="325">
        <v>2605</v>
      </c>
      <c r="J64" s="10">
        <f t="shared" si="69"/>
        <v>629</v>
      </c>
      <c r="K64" s="14">
        <f t="shared" si="81"/>
        <v>0.31831983805668018</v>
      </c>
      <c r="L64" s="69">
        <v>2995</v>
      </c>
      <c r="M64" s="52">
        <v>390</v>
      </c>
      <c r="N64" s="58">
        <v>0.14971209213051823</v>
      </c>
      <c r="O64" s="69">
        <v>3105</v>
      </c>
      <c r="P64" s="69">
        <f t="shared" si="82"/>
        <v>110</v>
      </c>
      <c r="Q64" s="58">
        <f t="shared" si="48"/>
        <v>3.6727879799666109E-2</v>
      </c>
      <c r="R64" s="69">
        <v>3158</v>
      </c>
      <c r="S64" s="69">
        <f t="shared" si="49"/>
        <v>53</v>
      </c>
      <c r="T64" s="58">
        <f t="shared" si="50"/>
        <v>1.7069243156199679E-2</v>
      </c>
      <c r="U64" s="68">
        <v>3523</v>
      </c>
      <c r="V64" s="52">
        <f t="shared" si="71"/>
        <v>365</v>
      </c>
      <c r="W64" s="58">
        <f t="shared" si="72"/>
        <v>0.11557948068397721</v>
      </c>
      <c r="X64" s="166">
        <v>5276</v>
      </c>
      <c r="Y64" s="52">
        <f>X64-U64</f>
        <v>1753</v>
      </c>
      <c r="Z64" s="95">
        <f>Y64/U64</f>
        <v>0.49758728356514337</v>
      </c>
      <c r="AA64" s="202">
        <v>6441</v>
      </c>
      <c r="AB64" s="172">
        <f>AA64-X64</f>
        <v>1165</v>
      </c>
      <c r="AC64" s="100">
        <f>AB64/X64</f>
        <v>0.2208112206216831</v>
      </c>
      <c r="AD64" s="219">
        <v>400</v>
      </c>
      <c r="AE64" s="219">
        <v>5486</v>
      </c>
      <c r="AF64" s="52">
        <v>5251</v>
      </c>
      <c r="AG64" s="52">
        <f t="shared" si="55"/>
        <v>-1190</v>
      </c>
      <c r="AH64" s="58">
        <f t="shared" si="56"/>
        <v>-0.18475392019872691</v>
      </c>
      <c r="AI64" s="219">
        <f>AF64</f>
        <v>5251</v>
      </c>
      <c r="AJ64" s="219">
        <f>AF64-232</f>
        <v>5019</v>
      </c>
      <c r="AK64" s="65">
        <v>409</v>
      </c>
      <c r="AM64" s="256">
        <f t="shared" si="57"/>
        <v>409</v>
      </c>
      <c r="AN64" s="220">
        <v>400</v>
      </c>
      <c r="AO64" s="220">
        <v>5194</v>
      </c>
      <c r="AP64" s="534">
        <v>0</v>
      </c>
      <c r="AQ64" s="534">
        <v>0</v>
      </c>
      <c r="AR64" s="39">
        <f t="shared" si="73"/>
        <v>0</v>
      </c>
      <c r="AS64" s="62">
        <f t="shared" si="74"/>
        <v>4525.5811000000003</v>
      </c>
      <c r="AT64" s="65">
        <f t="shared" si="75"/>
        <v>-725.41889999999967</v>
      </c>
      <c r="AU64" s="51">
        <f t="shared" si="76"/>
        <v>-0.13814871453056554</v>
      </c>
      <c r="AV64" s="65">
        <f t="shared" si="58"/>
        <v>-725.41889999999967</v>
      </c>
      <c r="AW64" s="51">
        <f t="shared" si="59"/>
        <v>-0.13814871453056554</v>
      </c>
      <c r="AX64" s="52">
        <v>4843</v>
      </c>
      <c r="AY64" s="52">
        <f t="shared" si="27"/>
        <v>-408</v>
      </c>
      <c r="AZ64" s="58">
        <f t="shared" si="28"/>
        <v>-7.7699485812226243E-2</v>
      </c>
      <c r="BA64" s="616">
        <v>4842.7169199999998</v>
      </c>
      <c r="BB64" s="616">
        <v>4525.5811000000003</v>
      </c>
      <c r="BC64" s="616">
        <f t="shared" si="77"/>
        <v>317.13581999999951</v>
      </c>
      <c r="BD64" s="31">
        <f t="shared" si="78"/>
        <v>6.5487168719331121E-2</v>
      </c>
      <c r="BE64" s="52">
        <f>739+5225</f>
        <v>5964</v>
      </c>
      <c r="BF64" s="52">
        <f t="shared" si="60"/>
        <v>1121</v>
      </c>
      <c r="BG64" s="58">
        <f t="shared" si="61"/>
        <v>0.23146809828618625</v>
      </c>
      <c r="BH64" s="65"/>
      <c r="BI64" s="65"/>
      <c r="BJ64" s="65"/>
      <c r="BK64" s="65"/>
      <c r="BL64" s="39">
        <f t="shared" si="31"/>
        <v>5964</v>
      </c>
      <c r="BM64" s="39">
        <f t="shared" si="62"/>
        <v>1438.4188999999997</v>
      </c>
      <c r="BN64" s="39">
        <v>6835</v>
      </c>
      <c r="BO64" s="534">
        <v>6835</v>
      </c>
      <c r="BP64" s="39">
        <f t="shared" si="33"/>
        <v>871</v>
      </c>
      <c r="BQ64" s="51">
        <f t="shared" si="63"/>
        <v>0.31784181262379751</v>
      </c>
      <c r="BR64" s="99">
        <f t="shared" si="34"/>
        <v>0.14604292421193829</v>
      </c>
      <c r="BS64" s="39">
        <v>409</v>
      </c>
      <c r="BV64" s="39">
        <v>155</v>
      </c>
      <c r="BW64" s="39">
        <f t="shared" si="64"/>
        <v>7399</v>
      </c>
      <c r="BX64" s="39">
        <f t="shared" si="65"/>
        <v>1435</v>
      </c>
      <c r="BY64" s="51">
        <f t="shared" si="66"/>
        <v>0.24061032863849766</v>
      </c>
    </row>
    <row r="65" spans="1:77" ht="18" customHeight="1">
      <c r="A65" s="63" t="s">
        <v>167</v>
      </c>
      <c r="B65" s="324" t="s">
        <v>78</v>
      </c>
      <c r="C65" s="324" t="s">
        <v>78</v>
      </c>
      <c r="D65" s="324" t="s">
        <v>78</v>
      </c>
      <c r="E65" s="324" t="s">
        <v>78</v>
      </c>
      <c r="F65" s="324" t="s">
        <v>78</v>
      </c>
      <c r="G65" s="324" t="s">
        <v>78</v>
      </c>
      <c r="H65" s="324" t="s">
        <v>78</v>
      </c>
      <c r="I65" s="324" t="s">
        <v>78</v>
      </c>
      <c r="J65" s="324" t="s">
        <v>78</v>
      </c>
      <c r="K65" s="324" t="s">
        <v>78</v>
      </c>
      <c r="L65" s="517" t="s">
        <v>78</v>
      </c>
      <c r="M65" s="514" t="s">
        <v>78</v>
      </c>
      <c r="N65" s="514" t="s">
        <v>78</v>
      </c>
      <c r="O65" s="517" t="s">
        <v>78</v>
      </c>
      <c r="P65" s="517" t="s">
        <v>78</v>
      </c>
      <c r="Q65" s="514" t="s">
        <v>78</v>
      </c>
      <c r="R65" s="517" t="s">
        <v>78</v>
      </c>
      <c r="S65" s="517" t="s">
        <v>78</v>
      </c>
      <c r="T65" s="66" t="s">
        <v>78</v>
      </c>
      <c r="U65" s="68"/>
      <c r="V65" s="52" t="e">
        <f t="shared" si="71"/>
        <v>#VALUE!</v>
      </c>
      <c r="W65" s="60" t="s">
        <v>78</v>
      </c>
      <c r="Y65" s="52"/>
      <c r="AB65" s="172"/>
      <c r="AC65" s="60"/>
      <c r="AG65" s="52">
        <f t="shared" si="55"/>
        <v>0</v>
      </c>
      <c r="AH65" s="58" t="e">
        <f t="shared" si="56"/>
        <v>#DIV/0!</v>
      </c>
      <c r="AI65" s="50">
        <v>0</v>
      </c>
      <c r="AJ65" s="50">
        <v>0</v>
      </c>
      <c r="AM65" s="256">
        <f t="shared" si="57"/>
        <v>0</v>
      </c>
      <c r="AN65" s="220">
        <v>0</v>
      </c>
      <c r="AO65" s="220">
        <v>0</v>
      </c>
      <c r="AP65" s="534">
        <v>0</v>
      </c>
      <c r="AQ65" s="534">
        <v>0</v>
      </c>
      <c r="AR65" s="39">
        <f t="shared" si="73"/>
        <v>0</v>
      </c>
      <c r="AS65" s="62">
        <f t="shared" si="74"/>
        <v>0</v>
      </c>
      <c r="AT65" s="65">
        <f t="shared" si="75"/>
        <v>0</v>
      </c>
      <c r="AU65" s="51" t="e">
        <f t="shared" si="76"/>
        <v>#DIV/0!</v>
      </c>
      <c r="AV65" s="65">
        <f t="shared" si="58"/>
        <v>0</v>
      </c>
      <c r="AW65" s="51" t="e">
        <f t="shared" si="59"/>
        <v>#DIV/0!</v>
      </c>
      <c r="AY65" s="52">
        <f t="shared" si="27"/>
        <v>0</v>
      </c>
      <c r="AZ65" s="58" t="e">
        <f t="shared" si="28"/>
        <v>#DIV/0!</v>
      </c>
      <c r="BC65" s="616">
        <f t="shared" si="77"/>
        <v>0</v>
      </c>
      <c r="BD65" s="31"/>
      <c r="BF65" s="52">
        <f t="shared" si="60"/>
        <v>0</v>
      </c>
      <c r="BG65" s="58" t="e">
        <f t="shared" si="61"/>
        <v>#DIV/0!</v>
      </c>
      <c r="BH65" s="65"/>
      <c r="BI65" s="65"/>
      <c r="BJ65" s="65"/>
      <c r="BK65" s="65"/>
      <c r="BL65" s="39">
        <f t="shared" si="31"/>
        <v>0</v>
      </c>
      <c r="BM65" s="39">
        <f t="shared" si="62"/>
        <v>0</v>
      </c>
      <c r="BN65" s="39"/>
      <c r="BO65" s="534"/>
      <c r="BP65" s="39">
        <f t="shared" si="33"/>
        <v>0</v>
      </c>
      <c r="BQ65" s="51" t="e">
        <f t="shared" si="63"/>
        <v>#DIV/0!</v>
      </c>
      <c r="BR65" s="99" t="e">
        <f t="shared" si="34"/>
        <v>#DIV/0!</v>
      </c>
      <c r="BV65" s="39"/>
      <c r="BW65" s="39">
        <f t="shared" si="64"/>
        <v>0</v>
      </c>
      <c r="BX65" s="39">
        <f t="shared" si="65"/>
        <v>0</v>
      </c>
      <c r="BY65" s="51" t="e">
        <f t="shared" si="66"/>
        <v>#DIV/0!</v>
      </c>
    </row>
    <row r="66" spans="1:77" s="79" customFormat="1" ht="18" customHeight="1">
      <c r="A66" s="53" t="s">
        <v>107</v>
      </c>
      <c r="B66" s="323">
        <v>5155</v>
      </c>
      <c r="C66" s="323">
        <v>5962</v>
      </c>
      <c r="D66" s="323">
        <f t="shared" si="67"/>
        <v>807</v>
      </c>
      <c r="E66" s="352">
        <f t="shared" si="79"/>
        <v>0.1565470417070805</v>
      </c>
      <c r="F66" s="593">
        <v>6127</v>
      </c>
      <c r="G66" s="582">
        <f t="shared" si="68"/>
        <v>165</v>
      </c>
      <c r="H66" s="274">
        <f t="shared" si="80"/>
        <v>2.7675276752767528E-2</v>
      </c>
      <c r="I66" s="593">
        <v>6353</v>
      </c>
      <c r="J66" s="582">
        <f t="shared" si="69"/>
        <v>226</v>
      </c>
      <c r="K66" s="274">
        <f t="shared" si="81"/>
        <v>3.6885914803329527E-2</v>
      </c>
      <c r="L66" s="155">
        <v>6478</v>
      </c>
      <c r="M66" s="62">
        <v>125</v>
      </c>
      <c r="N66" s="241">
        <v>1.967574374311349E-2</v>
      </c>
      <c r="O66" s="155">
        <v>6551</v>
      </c>
      <c r="P66" s="155">
        <f t="shared" si="82"/>
        <v>73</v>
      </c>
      <c r="Q66" s="241">
        <f t="shared" si="48"/>
        <v>1.1268910157456005E-2</v>
      </c>
      <c r="R66" s="155">
        <v>10186</v>
      </c>
      <c r="S66" s="155">
        <f t="shared" si="49"/>
        <v>3635</v>
      </c>
      <c r="T66" s="241">
        <f t="shared" si="50"/>
        <v>0.55487711799725237</v>
      </c>
      <c r="U66" s="62">
        <v>7628</v>
      </c>
      <c r="V66" s="62">
        <f t="shared" si="71"/>
        <v>-2558</v>
      </c>
      <c r="W66" s="241">
        <f t="shared" si="72"/>
        <v>-0.2511290005890438</v>
      </c>
      <c r="X66" s="166">
        <v>8568</v>
      </c>
      <c r="Y66" s="62">
        <f t="shared" ref="Y66:Y72" si="83">X66-U66</f>
        <v>940</v>
      </c>
      <c r="Z66" s="95">
        <f t="shared" ref="Z66:Z71" si="84">Y66/U66</f>
        <v>0.1232302045097011</v>
      </c>
      <c r="AA66" s="202">
        <v>9790</v>
      </c>
      <c r="AB66" s="583">
        <f t="shared" ref="AB66:AB72" si="85">AA66-X66</f>
        <v>1222</v>
      </c>
      <c r="AC66" s="584">
        <f>AB66/X66</f>
        <v>0.14262371615312791</v>
      </c>
      <c r="AD66" s="537">
        <v>0</v>
      </c>
      <c r="AE66" s="537">
        <v>9958</v>
      </c>
      <c r="AF66" s="62">
        <v>9561</v>
      </c>
      <c r="AG66" s="62">
        <f t="shared" si="55"/>
        <v>-229</v>
      </c>
      <c r="AH66" s="241">
        <f t="shared" si="56"/>
        <v>-2.3391215526046987E-2</v>
      </c>
      <c r="AI66" s="78">
        <f>AF66</f>
        <v>9561</v>
      </c>
      <c r="AJ66" s="78">
        <f>AF66</f>
        <v>9561</v>
      </c>
      <c r="AM66" s="202">
        <f t="shared" si="57"/>
        <v>0</v>
      </c>
      <c r="AN66" s="585">
        <v>0</v>
      </c>
      <c r="AO66" s="585">
        <v>9569</v>
      </c>
      <c r="AP66" s="595">
        <v>0</v>
      </c>
      <c r="AQ66" s="595">
        <v>78</v>
      </c>
      <c r="AR66" s="487">
        <f t="shared" si="73"/>
        <v>78</v>
      </c>
      <c r="AS66" s="62">
        <f t="shared" si="74"/>
        <v>9316.9128099999998</v>
      </c>
      <c r="AT66" s="78">
        <f t="shared" si="75"/>
        <v>-244.08719000000019</v>
      </c>
      <c r="AU66" s="579">
        <f t="shared" si="76"/>
        <v>-2.5529462399330634E-2</v>
      </c>
      <c r="AV66" s="78">
        <f t="shared" si="58"/>
        <v>-244.08719000000019</v>
      </c>
      <c r="AW66" s="579">
        <f t="shared" si="59"/>
        <v>-2.5529462399330634E-2</v>
      </c>
      <c r="AX66" s="62">
        <v>9453</v>
      </c>
      <c r="AY66" s="62">
        <f t="shared" si="27"/>
        <v>-108</v>
      </c>
      <c r="AZ66" s="241">
        <f t="shared" si="28"/>
        <v>-1.1295889551302165E-2</v>
      </c>
      <c r="BA66" s="616">
        <v>9453.4728799999993</v>
      </c>
      <c r="BB66" s="616">
        <v>9238.9128099999998</v>
      </c>
      <c r="BC66" s="616">
        <f t="shared" si="77"/>
        <v>214.56006999999954</v>
      </c>
      <c r="BD66" s="31">
        <f t="shared" si="78"/>
        <v>2.2696428362737268E-2</v>
      </c>
      <c r="BE66" s="62">
        <v>9901</v>
      </c>
      <c r="BF66" s="62">
        <f t="shared" si="60"/>
        <v>448</v>
      </c>
      <c r="BG66" s="241">
        <f t="shared" si="61"/>
        <v>4.7392362213054054E-2</v>
      </c>
      <c r="BH66" s="78"/>
      <c r="BI66" s="78"/>
      <c r="BJ66" s="78"/>
      <c r="BK66" s="78"/>
      <c r="BL66" s="487">
        <f t="shared" si="31"/>
        <v>9901</v>
      </c>
      <c r="BM66" s="487">
        <f t="shared" si="62"/>
        <v>584.08719000000019</v>
      </c>
      <c r="BN66" s="487">
        <v>10360</v>
      </c>
      <c r="BO66" s="595">
        <v>10360</v>
      </c>
      <c r="BP66" s="39">
        <f t="shared" si="33"/>
        <v>459</v>
      </c>
      <c r="BQ66" s="579">
        <f t="shared" si="63"/>
        <v>6.2691065368035814E-2</v>
      </c>
      <c r="BR66" s="99">
        <f t="shared" si="34"/>
        <v>4.6358953641046356E-2</v>
      </c>
      <c r="BS66" s="487">
        <v>1702</v>
      </c>
      <c r="BV66" s="487">
        <v>0</v>
      </c>
      <c r="BW66" s="39">
        <f t="shared" si="64"/>
        <v>12062</v>
      </c>
      <c r="BX66" s="39">
        <f t="shared" si="65"/>
        <v>2161</v>
      </c>
      <c r="BY66" s="51">
        <f t="shared" si="66"/>
        <v>0.21826078173921826</v>
      </c>
    </row>
    <row r="67" spans="1:77" ht="18" customHeight="1">
      <c r="A67" s="63" t="s">
        <v>109</v>
      </c>
      <c r="B67" s="324">
        <v>2757</v>
      </c>
      <c r="C67" s="324">
        <v>3052</v>
      </c>
      <c r="D67" s="323">
        <f t="shared" si="67"/>
        <v>295</v>
      </c>
      <c r="E67" s="352">
        <f t="shared" si="79"/>
        <v>0.10700036271309395</v>
      </c>
      <c r="F67" s="325">
        <v>3826</v>
      </c>
      <c r="G67" s="10">
        <f t="shared" si="68"/>
        <v>774</v>
      </c>
      <c r="H67" s="14">
        <f t="shared" si="80"/>
        <v>0.25360419397116646</v>
      </c>
      <c r="I67" s="325">
        <v>3779</v>
      </c>
      <c r="J67" s="10">
        <f t="shared" si="69"/>
        <v>-47</v>
      </c>
      <c r="K67" s="14">
        <f t="shared" si="81"/>
        <v>-1.2284370099320438E-2</v>
      </c>
      <c r="L67" s="69">
        <v>4192</v>
      </c>
      <c r="M67" s="52">
        <v>413</v>
      </c>
      <c r="N67" s="58">
        <v>0.10928817147393491</v>
      </c>
      <c r="O67" s="69">
        <v>3830</v>
      </c>
      <c r="P67" s="69">
        <f t="shared" si="82"/>
        <v>-362</v>
      </c>
      <c r="Q67" s="58">
        <f t="shared" si="48"/>
        <v>-8.6354961832061067E-2</v>
      </c>
      <c r="R67" s="69">
        <v>4239</v>
      </c>
      <c r="S67" s="69">
        <f t="shared" si="49"/>
        <v>409</v>
      </c>
      <c r="T67" s="58">
        <f t="shared" si="50"/>
        <v>0.10678851174934725</v>
      </c>
      <c r="U67" s="52">
        <v>4384</v>
      </c>
      <c r="V67" s="52">
        <f t="shared" si="71"/>
        <v>145</v>
      </c>
      <c r="W67" s="58">
        <f t="shared" si="72"/>
        <v>3.4206180702995991E-2</v>
      </c>
      <c r="X67" s="166">
        <v>4865</v>
      </c>
      <c r="Y67" s="52">
        <f t="shared" si="83"/>
        <v>481</v>
      </c>
      <c r="Z67" s="95">
        <f t="shared" si="84"/>
        <v>0.10971715328467153</v>
      </c>
      <c r="AA67" s="202">
        <v>5025</v>
      </c>
      <c r="AB67" s="172">
        <f t="shared" si="85"/>
        <v>160</v>
      </c>
      <c r="AC67" s="100">
        <f>AB67/X67</f>
        <v>3.28879753340185E-2</v>
      </c>
      <c r="AD67" s="219">
        <v>0</v>
      </c>
      <c r="AE67" s="219">
        <v>5136</v>
      </c>
      <c r="AF67" s="52">
        <v>4723</v>
      </c>
      <c r="AG67" s="52">
        <f t="shared" si="55"/>
        <v>-302</v>
      </c>
      <c r="AH67" s="58">
        <f t="shared" si="56"/>
        <v>-6.0099502487562191E-2</v>
      </c>
      <c r="AI67" s="65">
        <f>AF67</f>
        <v>4723</v>
      </c>
      <c r="AJ67" s="65">
        <f>AF67</f>
        <v>4723</v>
      </c>
      <c r="AM67" s="256">
        <f t="shared" si="57"/>
        <v>0</v>
      </c>
      <c r="AN67" s="220">
        <v>0</v>
      </c>
      <c r="AO67" s="220">
        <v>5229</v>
      </c>
      <c r="AP67" s="534">
        <v>0</v>
      </c>
      <c r="AQ67" s="534">
        <v>14</v>
      </c>
      <c r="AR67" s="39">
        <f t="shared" si="73"/>
        <v>14</v>
      </c>
      <c r="AS67" s="62">
        <f t="shared" si="74"/>
        <v>4974.1370699999998</v>
      </c>
      <c r="AT67" s="65">
        <f t="shared" si="75"/>
        <v>251.13706999999977</v>
      </c>
      <c r="AU67" s="51">
        <f t="shared" si="76"/>
        <v>5.3173209824264191E-2</v>
      </c>
      <c r="AV67" s="65">
        <f t="shared" si="58"/>
        <v>251.13706999999977</v>
      </c>
      <c r="AW67" s="51">
        <f t="shared" si="59"/>
        <v>5.3173209824264191E-2</v>
      </c>
      <c r="AX67" s="52">
        <v>5170</v>
      </c>
      <c r="AY67" s="52">
        <f t="shared" si="27"/>
        <v>447</v>
      </c>
      <c r="AZ67" s="58">
        <f t="shared" si="28"/>
        <v>9.4643235231844161E-2</v>
      </c>
      <c r="BA67" s="616">
        <v>5170.1981900000001</v>
      </c>
      <c r="BB67" s="616">
        <v>4960.1370699999998</v>
      </c>
      <c r="BC67" s="616">
        <f t="shared" si="77"/>
        <v>210.0611200000003</v>
      </c>
      <c r="BD67" s="31">
        <f t="shared" si="78"/>
        <v>4.062922005703621E-2</v>
      </c>
      <c r="BE67" s="52">
        <v>5447</v>
      </c>
      <c r="BF67" s="52">
        <f t="shared" si="60"/>
        <v>277</v>
      </c>
      <c r="BG67" s="58">
        <f t="shared" si="61"/>
        <v>5.3578336557059958E-2</v>
      </c>
      <c r="BH67" s="65"/>
      <c r="BI67" s="65"/>
      <c r="BJ67" s="65"/>
      <c r="BK67" s="65"/>
      <c r="BL67" s="39">
        <f t="shared" si="31"/>
        <v>5447</v>
      </c>
      <c r="BM67" s="39">
        <f t="shared" si="62"/>
        <v>472.86293000000023</v>
      </c>
      <c r="BN67" s="39">
        <v>6116</v>
      </c>
      <c r="BO67" s="534">
        <v>6116</v>
      </c>
      <c r="BP67" s="39">
        <f t="shared" si="33"/>
        <v>669</v>
      </c>
      <c r="BQ67" s="51">
        <f t="shared" si="63"/>
        <v>9.50643143414623E-2</v>
      </c>
      <c r="BR67" s="99">
        <f t="shared" si="34"/>
        <v>0.12281990086286029</v>
      </c>
      <c r="BS67" s="39">
        <v>1038</v>
      </c>
      <c r="BV67" s="39">
        <v>0</v>
      </c>
      <c r="BW67" s="39">
        <f t="shared" si="64"/>
        <v>7154</v>
      </c>
      <c r="BX67" s="39">
        <f t="shared" si="65"/>
        <v>1707</v>
      </c>
      <c r="BY67" s="51">
        <f t="shared" si="66"/>
        <v>0.31338351386084085</v>
      </c>
    </row>
    <row r="68" spans="1:77" ht="18" customHeight="1">
      <c r="A68" s="63" t="s">
        <v>110</v>
      </c>
      <c r="B68" s="324">
        <v>6426</v>
      </c>
      <c r="C68" s="324">
        <v>7518</v>
      </c>
      <c r="D68" s="323">
        <f t="shared" si="67"/>
        <v>1092</v>
      </c>
      <c r="E68" s="352">
        <f t="shared" si="79"/>
        <v>0.16993464052287582</v>
      </c>
      <c r="F68" s="325">
        <v>8346</v>
      </c>
      <c r="G68" s="10">
        <f t="shared" si="68"/>
        <v>828</v>
      </c>
      <c r="H68" s="14">
        <f t="shared" si="80"/>
        <v>0.11013567438148444</v>
      </c>
      <c r="I68" s="325">
        <v>9349</v>
      </c>
      <c r="J68" s="10">
        <f t="shared" si="69"/>
        <v>1003</v>
      </c>
      <c r="K68" s="14">
        <f t="shared" si="81"/>
        <v>0.12017733045770429</v>
      </c>
      <c r="L68" s="69">
        <f>9706+1682</f>
        <v>11388</v>
      </c>
      <c r="M68" s="52">
        <f>L68-I68</f>
        <v>2039</v>
      </c>
      <c r="N68" s="58">
        <f>M68/I68</f>
        <v>0.21809819232003422</v>
      </c>
      <c r="O68" s="69">
        <v>11766</v>
      </c>
      <c r="P68" s="69">
        <f>O68-L68</f>
        <v>378</v>
      </c>
      <c r="Q68" s="58">
        <f t="shared" si="48"/>
        <v>3.3192834562697573E-2</v>
      </c>
      <c r="R68" s="69">
        <v>13157</v>
      </c>
      <c r="S68" s="69">
        <f t="shared" si="49"/>
        <v>1391</v>
      </c>
      <c r="T68" s="58">
        <f t="shared" si="50"/>
        <v>0.11822199558048614</v>
      </c>
      <c r="U68" s="52">
        <v>13971</v>
      </c>
      <c r="V68" s="52">
        <f t="shared" si="71"/>
        <v>814</v>
      </c>
      <c r="W68" s="58">
        <f t="shared" si="72"/>
        <v>6.186820703807859E-2</v>
      </c>
      <c r="X68" s="166">
        <v>14651</v>
      </c>
      <c r="Y68" s="52">
        <f t="shared" si="83"/>
        <v>680</v>
      </c>
      <c r="Z68" s="95">
        <f t="shared" si="84"/>
        <v>4.867224966001002E-2</v>
      </c>
      <c r="AA68" s="202">
        <v>16319</v>
      </c>
      <c r="AB68" s="172">
        <f t="shared" si="85"/>
        <v>1668</v>
      </c>
      <c r="AC68" s="100">
        <f>AB68/X68</f>
        <v>0.11384888403521944</v>
      </c>
      <c r="AD68" s="219">
        <v>0</v>
      </c>
      <c r="AE68" s="219">
        <v>16327</v>
      </c>
      <c r="AF68" s="52">
        <v>14953</v>
      </c>
      <c r="AG68" s="52">
        <f t="shared" si="55"/>
        <v>-1366</v>
      </c>
      <c r="AH68" s="58">
        <f t="shared" si="56"/>
        <v>-8.370610944298057E-2</v>
      </c>
      <c r="AI68" s="65">
        <f>AF68</f>
        <v>14953</v>
      </c>
      <c r="AJ68" s="65">
        <f>AF68-546</f>
        <v>14407</v>
      </c>
      <c r="AM68" s="256">
        <f t="shared" si="57"/>
        <v>0</v>
      </c>
      <c r="AN68" s="220">
        <v>0</v>
      </c>
      <c r="AO68" s="220">
        <v>16674</v>
      </c>
      <c r="AP68" s="534">
        <v>0</v>
      </c>
      <c r="AQ68" s="534">
        <v>119</v>
      </c>
      <c r="AR68" s="39">
        <f t="shared" si="73"/>
        <v>119</v>
      </c>
      <c r="AS68" s="62">
        <f t="shared" si="74"/>
        <v>13872.063039999999</v>
      </c>
      <c r="AT68" s="65">
        <f t="shared" si="75"/>
        <v>-1080.9369600000009</v>
      </c>
      <c r="AU68" s="51">
        <f t="shared" si="76"/>
        <v>-7.2288969437571113E-2</v>
      </c>
      <c r="AV68" s="65">
        <f t="shared" si="58"/>
        <v>-1080.9369600000009</v>
      </c>
      <c r="AW68" s="51">
        <f t="shared" si="59"/>
        <v>-7.2288969437571113E-2</v>
      </c>
      <c r="AX68" s="52">
        <v>15088</v>
      </c>
      <c r="AY68" s="52">
        <f t="shared" si="27"/>
        <v>135</v>
      </c>
      <c r="AZ68" s="58">
        <f t="shared" si="28"/>
        <v>9.0282886377315592E-3</v>
      </c>
      <c r="BA68" s="616">
        <v>15086.813529999999</v>
      </c>
      <c r="BB68" s="616">
        <v>13753.063039999999</v>
      </c>
      <c r="BC68" s="616">
        <f t="shared" si="77"/>
        <v>1333.7504900000004</v>
      </c>
      <c r="BD68" s="31">
        <f t="shared" si="78"/>
        <v>8.8405049041525491E-2</v>
      </c>
      <c r="BE68" s="52">
        <v>17042</v>
      </c>
      <c r="BF68" s="52">
        <f t="shared" si="60"/>
        <v>1954</v>
      </c>
      <c r="BG68" s="58">
        <f t="shared" si="61"/>
        <v>0.12950689289501591</v>
      </c>
      <c r="BH68" s="65"/>
      <c r="BI68" s="65"/>
      <c r="BJ68" s="65"/>
      <c r="BK68" s="65"/>
      <c r="BL68" s="39">
        <f t="shared" si="31"/>
        <v>17042</v>
      </c>
      <c r="BM68" s="39">
        <f t="shared" si="62"/>
        <v>3169.9369600000009</v>
      </c>
      <c r="BN68" s="39">
        <v>17868</v>
      </c>
      <c r="BO68" s="534">
        <v>17868</v>
      </c>
      <c r="BP68" s="39">
        <f t="shared" si="33"/>
        <v>826</v>
      </c>
      <c r="BQ68" s="51">
        <f t="shared" si="63"/>
        <v>0.22851229488069</v>
      </c>
      <c r="BR68" s="99">
        <f t="shared" si="34"/>
        <v>4.8468489613895084E-2</v>
      </c>
      <c r="BS68" s="39">
        <v>1900</v>
      </c>
      <c r="BV68" s="39">
        <v>1</v>
      </c>
      <c r="BW68" s="39">
        <f t="shared" si="64"/>
        <v>19769</v>
      </c>
      <c r="BX68" s="39">
        <f t="shared" si="65"/>
        <v>2727</v>
      </c>
      <c r="BY68" s="51">
        <f t="shared" si="66"/>
        <v>0.16001642999647928</v>
      </c>
    </row>
    <row r="69" spans="1:77" ht="18" customHeight="1">
      <c r="A69" s="63" t="s">
        <v>111</v>
      </c>
      <c r="B69" s="324">
        <v>3320</v>
      </c>
      <c r="C69" s="324">
        <v>7687</v>
      </c>
      <c r="D69" s="323">
        <f t="shared" si="67"/>
        <v>4367</v>
      </c>
      <c r="E69" s="352">
        <f t="shared" si="79"/>
        <v>1.3153614457831326</v>
      </c>
      <c r="F69" s="325">
        <v>3197</v>
      </c>
      <c r="G69" s="10">
        <f t="shared" si="68"/>
        <v>-4490</v>
      </c>
      <c r="H69" s="14">
        <f t="shared" si="80"/>
        <v>-0.58410303109145312</v>
      </c>
      <c r="I69" s="325">
        <v>5355</v>
      </c>
      <c r="J69" s="10">
        <f t="shared" si="69"/>
        <v>2158</v>
      </c>
      <c r="K69" s="14">
        <f t="shared" si="81"/>
        <v>0.67500781983109159</v>
      </c>
      <c r="L69" s="69">
        <v>4485</v>
      </c>
      <c r="M69" s="52">
        <v>-870</v>
      </c>
      <c r="N69" s="58">
        <v>-0.16246498599439776</v>
      </c>
      <c r="O69" s="69">
        <v>4885</v>
      </c>
      <c r="P69" s="69">
        <f t="shared" si="82"/>
        <v>400</v>
      </c>
      <c r="Q69" s="58">
        <f t="shared" si="48"/>
        <v>8.9186176142697887E-2</v>
      </c>
      <c r="R69" s="69">
        <v>5385</v>
      </c>
      <c r="S69" s="69">
        <f t="shared" si="49"/>
        <v>500</v>
      </c>
      <c r="T69" s="58">
        <f t="shared" si="50"/>
        <v>0.10235414534288639</v>
      </c>
      <c r="U69" s="52">
        <v>6565</v>
      </c>
      <c r="V69" s="52">
        <f t="shared" si="71"/>
        <v>1180</v>
      </c>
      <c r="W69" s="58">
        <f t="shared" si="72"/>
        <v>0.21912720519962861</v>
      </c>
      <c r="X69" s="166">
        <v>6942</v>
      </c>
      <c r="Y69" s="52">
        <f t="shared" si="83"/>
        <v>377</v>
      </c>
      <c r="Z69" s="95">
        <f t="shared" si="84"/>
        <v>5.7425742574257428E-2</v>
      </c>
      <c r="AA69" s="202">
        <v>7089</v>
      </c>
      <c r="AB69" s="172">
        <f t="shared" si="85"/>
        <v>147</v>
      </c>
      <c r="AC69" s="100">
        <f>AB69/X69</f>
        <v>2.1175453759723423E-2</v>
      </c>
      <c r="AD69" s="219">
        <v>0</v>
      </c>
      <c r="AE69" s="219">
        <v>8477</v>
      </c>
      <c r="AF69" s="52">
        <v>6685</v>
      </c>
      <c r="AG69" s="52">
        <f t="shared" si="55"/>
        <v>-404</v>
      </c>
      <c r="AH69" s="58">
        <f t="shared" si="56"/>
        <v>-5.698970235576245E-2</v>
      </c>
      <c r="AI69" s="65">
        <f>AF69</f>
        <v>6685</v>
      </c>
      <c r="AJ69" s="65">
        <f>AF69-851</f>
        <v>5834</v>
      </c>
      <c r="AM69" s="256">
        <f t="shared" si="57"/>
        <v>0</v>
      </c>
      <c r="AN69" s="220">
        <v>0</v>
      </c>
      <c r="AO69" s="220">
        <v>7631</v>
      </c>
      <c r="AP69" s="534">
        <v>0</v>
      </c>
      <c r="AQ69" s="534">
        <v>0</v>
      </c>
      <c r="AR69" s="39">
        <f t="shared" si="73"/>
        <v>0</v>
      </c>
      <c r="AS69" s="62">
        <f t="shared" si="74"/>
        <v>6956.5019300000004</v>
      </c>
      <c r="AT69" s="65">
        <f t="shared" si="75"/>
        <v>271.50193000000036</v>
      </c>
      <c r="AU69" s="51">
        <f t="shared" si="76"/>
        <v>4.0613602094240892E-2</v>
      </c>
      <c r="AV69" s="65">
        <f t="shared" si="58"/>
        <v>271.50193000000036</v>
      </c>
      <c r="AW69" s="51">
        <f t="shared" si="59"/>
        <v>4.0613602094240892E-2</v>
      </c>
      <c r="AX69" s="52">
        <v>7295</v>
      </c>
      <c r="AY69" s="52">
        <f t="shared" si="27"/>
        <v>610</v>
      </c>
      <c r="AZ69" s="58">
        <f t="shared" si="28"/>
        <v>9.1249065071054597E-2</v>
      </c>
      <c r="BA69" s="616">
        <v>7295.3704900000002</v>
      </c>
      <c r="BB69" s="616">
        <v>6956.5019300000004</v>
      </c>
      <c r="BC69" s="616">
        <f t="shared" si="77"/>
        <v>338.86855999999989</v>
      </c>
      <c r="BD69" s="31">
        <f t="shared" si="78"/>
        <v>4.6449808198843083E-2</v>
      </c>
      <c r="BE69" s="52">
        <v>8525</v>
      </c>
      <c r="BF69" s="52">
        <f t="shared" si="60"/>
        <v>1230</v>
      </c>
      <c r="BG69" s="58">
        <f t="shared" si="61"/>
        <v>0.16860863605209048</v>
      </c>
      <c r="BH69" s="65"/>
      <c r="BI69" s="65"/>
      <c r="BJ69" s="65"/>
      <c r="BK69" s="65"/>
      <c r="BL69" s="39">
        <f t="shared" si="31"/>
        <v>8525</v>
      </c>
      <c r="BM69" s="39">
        <f t="shared" si="62"/>
        <v>1568.4980699999996</v>
      </c>
      <c r="BN69" s="39">
        <v>8592</v>
      </c>
      <c r="BO69" s="534">
        <v>8592</v>
      </c>
      <c r="BP69" s="39">
        <f t="shared" si="33"/>
        <v>67</v>
      </c>
      <c r="BQ69" s="51">
        <f t="shared" si="63"/>
        <v>0.22547223960879423</v>
      </c>
      <c r="BR69" s="99">
        <f t="shared" si="34"/>
        <v>7.8592375366568924E-3</v>
      </c>
      <c r="BS69" s="39">
        <v>196</v>
      </c>
      <c r="BV69" s="39">
        <v>0</v>
      </c>
      <c r="BW69" s="39">
        <f t="shared" si="64"/>
        <v>8788</v>
      </c>
      <c r="BX69" s="39">
        <f t="shared" si="65"/>
        <v>263</v>
      </c>
      <c r="BY69" s="51">
        <f t="shared" si="66"/>
        <v>3.0850439882697946E-2</v>
      </c>
    </row>
    <row r="70" spans="1:77" ht="18" customHeight="1">
      <c r="A70" s="63" t="s">
        <v>101</v>
      </c>
      <c r="B70" s="324" t="s">
        <v>78</v>
      </c>
      <c r="C70" s="324" t="s">
        <v>78</v>
      </c>
      <c r="D70" s="324" t="s">
        <v>78</v>
      </c>
      <c r="E70" s="324" t="s">
        <v>78</v>
      </c>
      <c r="F70" s="324" t="s">
        <v>78</v>
      </c>
      <c r="G70" s="324" t="s">
        <v>78</v>
      </c>
      <c r="H70" s="324" t="s">
        <v>78</v>
      </c>
      <c r="I70" s="325" t="s">
        <v>78</v>
      </c>
      <c r="J70" s="325" t="s">
        <v>78</v>
      </c>
      <c r="K70" s="325" t="s">
        <v>78</v>
      </c>
      <c r="L70" s="518" t="s">
        <v>78</v>
      </c>
      <c r="M70" s="518" t="s">
        <v>78</v>
      </c>
      <c r="N70" s="322" t="s">
        <v>78</v>
      </c>
      <c r="O70" s="518" t="s">
        <v>78</v>
      </c>
      <c r="P70" s="518" t="s">
        <v>78</v>
      </c>
      <c r="Q70" s="322" t="s">
        <v>78</v>
      </c>
      <c r="R70" s="518" t="s">
        <v>78</v>
      </c>
      <c r="S70" s="518" t="s">
        <v>78</v>
      </c>
      <c r="T70" s="322" t="s">
        <v>78</v>
      </c>
      <c r="U70" s="518" t="s">
        <v>78</v>
      </c>
      <c r="V70" s="518" t="s">
        <v>78</v>
      </c>
      <c r="W70" s="518" t="s">
        <v>78</v>
      </c>
      <c r="X70" s="515" t="s">
        <v>78</v>
      </c>
      <c r="Y70" s="513" t="s">
        <v>78</v>
      </c>
      <c r="Z70" s="515" t="s">
        <v>78</v>
      </c>
      <c r="AA70" s="516" t="s">
        <v>78</v>
      </c>
      <c r="AB70" s="324" t="s">
        <v>78</v>
      </c>
      <c r="AC70" s="60" t="s">
        <v>78</v>
      </c>
      <c r="AD70" s="219">
        <v>0</v>
      </c>
      <c r="AE70" s="219"/>
      <c r="AG70" s="52" t="e">
        <f t="shared" si="55"/>
        <v>#VALUE!</v>
      </c>
      <c r="AH70" s="58" t="e">
        <f t="shared" si="56"/>
        <v>#VALUE!</v>
      </c>
      <c r="AI70" s="50">
        <v>0</v>
      </c>
      <c r="AJ70" s="50">
        <v>0</v>
      </c>
      <c r="AM70" s="256">
        <f t="shared" si="57"/>
        <v>0</v>
      </c>
      <c r="AN70" s="220">
        <v>0</v>
      </c>
      <c r="AO70" s="220">
        <v>0</v>
      </c>
      <c r="AP70" s="534">
        <v>0</v>
      </c>
      <c r="AQ70" s="534">
        <v>0</v>
      </c>
      <c r="AR70" s="39">
        <f t="shared" si="73"/>
        <v>0</v>
      </c>
      <c r="AS70" s="62">
        <f t="shared" si="74"/>
        <v>0</v>
      </c>
      <c r="AT70" s="65">
        <f t="shared" si="75"/>
        <v>0</v>
      </c>
      <c r="AU70" s="51" t="e">
        <f t="shared" si="76"/>
        <v>#DIV/0!</v>
      </c>
      <c r="AV70" s="65">
        <f t="shared" si="58"/>
        <v>0</v>
      </c>
      <c r="AW70" s="51" t="e">
        <f t="shared" si="59"/>
        <v>#DIV/0!</v>
      </c>
      <c r="AY70" s="52">
        <f t="shared" si="27"/>
        <v>0</v>
      </c>
      <c r="AZ70" s="58" t="e">
        <f t="shared" si="28"/>
        <v>#DIV/0!</v>
      </c>
      <c r="BC70" s="616">
        <f t="shared" si="77"/>
        <v>0</v>
      </c>
      <c r="BD70" s="31"/>
      <c r="BF70" s="52">
        <f t="shared" si="60"/>
        <v>0</v>
      </c>
      <c r="BG70" s="58" t="e">
        <f t="shared" si="61"/>
        <v>#DIV/0!</v>
      </c>
      <c r="BH70" s="65"/>
      <c r="BI70" s="65"/>
      <c r="BJ70" s="65"/>
      <c r="BK70" s="65"/>
      <c r="BL70" s="39">
        <f t="shared" si="31"/>
        <v>0</v>
      </c>
      <c r="BM70" s="39">
        <f t="shared" si="62"/>
        <v>0</v>
      </c>
      <c r="BN70" s="39"/>
      <c r="BO70" s="534"/>
      <c r="BP70" s="39">
        <f t="shared" si="33"/>
        <v>0</v>
      </c>
      <c r="BQ70" s="51" t="e">
        <f t="shared" si="63"/>
        <v>#DIV/0!</v>
      </c>
      <c r="BR70" s="99" t="e">
        <f t="shared" si="34"/>
        <v>#DIV/0!</v>
      </c>
      <c r="BV70" s="39"/>
      <c r="BW70" s="39">
        <f t="shared" si="64"/>
        <v>0</v>
      </c>
      <c r="BX70" s="39">
        <f t="shared" si="65"/>
        <v>0</v>
      </c>
      <c r="BY70" s="51" t="e">
        <f t="shared" si="66"/>
        <v>#DIV/0!</v>
      </c>
    </row>
    <row r="71" spans="1:77" ht="18" customHeight="1">
      <c r="A71" s="53" t="s">
        <v>168</v>
      </c>
      <c r="B71" s="324" t="s">
        <v>78</v>
      </c>
      <c r="C71" s="324" t="s">
        <v>78</v>
      </c>
      <c r="D71" s="324" t="s">
        <v>78</v>
      </c>
      <c r="E71" s="324" t="s">
        <v>78</v>
      </c>
      <c r="F71" s="324" t="s">
        <v>78</v>
      </c>
      <c r="G71" s="324" t="s">
        <v>78</v>
      </c>
      <c r="H71" s="324" t="s">
        <v>78</v>
      </c>
      <c r="I71" s="325" t="s">
        <v>78</v>
      </c>
      <c r="J71" s="325" t="s">
        <v>78</v>
      </c>
      <c r="K71" s="325" t="s">
        <v>78</v>
      </c>
      <c r="L71" s="69">
        <v>0</v>
      </c>
      <c r="M71" s="69">
        <v>0</v>
      </c>
      <c r="N71" s="70">
        <v>0</v>
      </c>
      <c r="O71" s="69">
        <v>0</v>
      </c>
      <c r="P71" s="69">
        <v>0</v>
      </c>
      <c r="Q71" s="70">
        <v>0</v>
      </c>
      <c r="R71" s="69">
        <v>0</v>
      </c>
      <c r="S71" s="69">
        <v>0</v>
      </c>
      <c r="T71" s="70">
        <v>0</v>
      </c>
      <c r="U71" s="71">
        <v>58500</v>
      </c>
      <c r="V71" s="69">
        <f t="shared" si="71"/>
        <v>58500</v>
      </c>
      <c r="W71" s="70" t="s">
        <v>78</v>
      </c>
      <c r="X71" s="176">
        <v>70589</v>
      </c>
      <c r="Y71" s="52">
        <f t="shared" si="83"/>
        <v>12089</v>
      </c>
      <c r="Z71" s="95">
        <f t="shared" si="84"/>
        <v>0.20664957264957265</v>
      </c>
      <c r="AA71" s="202">
        <v>32775</v>
      </c>
      <c r="AB71" s="172">
        <f t="shared" si="85"/>
        <v>-37814</v>
      </c>
      <c r="AC71" s="100">
        <f>AB71/X71</f>
        <v>-0.53569252999759165</v>
      </c>
      <c r="AD71" s="219">
        <v>0</v>
      </c>
      <c r="AE71" s="219">
        <v>13039</v>
      </c>
      <c r="AF71" s="52">
        <v>13039</v>
      </c>
      <c r="AG71" s="52">
        <f t="shared" si="55"/>
        <v>-19736</v>
      </c>
      <c r="AH71" s="58">
        <f t="shared" si="56"/>
        <v>-0.60216628527841343</v>
      </c>
      <c r="AI71" s="65">
        <f>AF71</f>
        <v>13039</v>
      </c>
      <c r="AJ71" s="65">
        <f>AF71</f>
        <v>13039</v>
      </c>
      <c r="AM71" s="256">
        <f t="shared" si="57"/>
        <v>0</v>
      </c>
      <c r="AN71" s="220">
        <v>0</v>
      </c>
      <c r="AO71" s="220">
        <v>14384</v>
      </c>
      <c r="AP71" s="534">
        <v>0</v>
      </c>
      <c r="AQ71" s="534">
        <v>0</v>
      </c>
      <c r="AR71" s="39">
        <f t="shared" si="73"/>
        <v>0</v>
      </c>
      <c r="AS71" s="62">
        <f t="shared" si="74"/>
        <v>34018.224999999999</v>
      </c>
      <c r="AT71" s="65">
        <f t="shared" si="75"/>
        <v>20979.224999999999</v>
      </c>
      <c r="AU71" s="51">
        <f t="shared" si="76"/>
        <v>1.6089596594830891</v>
      </c>
      <c r="AV71" s="65">
        <f t="shared" si="58"/>
        <v>20979.224999999999</v>
      </c>
      <c r="AW71" s="51">
        <f t="shared" si="59"/>
        <v>1.6089596594830891</v>
      </c>
      <c r="AX71" s="52">
        <f>24686+15691</f>
        <v>40377</v>
      </c>
      <c r="AY71" s="52">
        <f t="shared" si="27"/>
        <v>27338</v>
      </c>
      <c r="AZ71" s="58">
        <f t="shared" si="28"/>
        <v>2.0966331773909044</v>
      </c>
      <c r="BA71" s="616">
        <v>34018.224999999999</v>
      </c>
      <c r="BB71" s="616">
        <v>34018.224999999999</v>
      </c>
      <c r="BC71" s="616">
        <f t="shared" si="77"/>
        <v>0</v>
      </c>
      <c r="BD71" s="31">
        <f t="shared" si="78"/>
        <v>0</v>
      </c>
      <c r="BE71" s="52">
        <f>(23533+19378)-18000</f>
        <v>24911</v>
      </c>
      <c r="BF71" s="52">
        <f t="shared" si="60"/>
        <v>-15466</v>
      </c>
      <c r="BG71" s="58">
        <f t="shared" si="61"/>
        <v>-0.38303984941922381</v>
      </c>
      <c r="BH71" s="65"/>
      <c r="BI71" s="65"/>
      <c r="BJ71" s="65"/>
      <c r="BK71" s="65"/>
      <c r="BL71" s="39">
        <f t="shared" si="31"/>
        <v>24911</v>
      </c>
      <c r="BM71" s="39">
        <f t="shared" si="62"/>
        <v>-9107.2249999999985</v>
      </c>
      <c r="BN71" s="39">
        <f>45360-19900</f>
        <v>25460</v>
      </c>
      <c r="BO71" s="534">
        <v>15000</v>
      </c>
      <c r="BP71" s="39">
        <f t="shared" si="33"/>
        <v>-9911</v>
      </c>
      <c r="BQ71" s="51">
        <f t="shared" si="63"/>
        <v>-0.26771605514397057</v>
      </c>
      <c r="BR71" s="99">
        <f t="shared" si="34"/>
        <v>-0.39785636867247398</v>
      </c>
      <c r="BV71" s="39"/>
      <c r="BW71" s="39">
        <f t="shared" si="64"/>
        <v>25460</v>
      </c>
      <c r="BX71" s="39">
        <f t="shared" si="65"/>
        <v>549</v>
      </c>
      <c r="BY71" s="51">
        <f t="shared" si="66"/>
        <v>2.2038456906587452E-2</v>
      </c>
    </row>
    <row r="72" spans="1:77" s="63" customFormat="1" ht="18" customHeight="1">
      <c r="A72" s="63" t="s">
        <v>124</v>
      </c>
      <c r="B72" s="324" t="s">
        <v>78</v>
      </c>
      <c r="C72" s="324" t="s">
        <v>78</v>
      </c>
      <c r="D72" s="324" t="s">
        <v>78</v>
      </c>
      <c r="E72" s="324" t="s">
        <v>78</v>
      </c>
      <c r="F72" s="324" t="s">
        <v>78</v>
      </c>
      <c r="G72" s="324" t="s">
        <v>78</v>
      </c>
      <c r="H72" s="324" t="s">
        <v>78</v>
      </c>
      <c r="I72" s="325" t="s">
        <v>78</v>
      </c>
      <c r="J72" s="325" t="s">
        <v>78</v>
      </c>
      <c r="K72" s="325" t="s">
        <v>78</v>
      </c>
      <c r="L72" s="325" t="s">
        <v>78</v>
      </c>
      <c r="M72" s="325" t="s">
        <v>78</v>
      </c>
      <c r="N72" s="325" t="s">
        <v>78</v>
      </c>
      <c r="O72" s="325" t="s">
        <v>78</v>
      </c>
      <c r="P72" s="325" t="s">
        <v>78</v>
      </c>
      <c r="Q72" s="325" t="s">
        <v>78</v>
      </c>
      <c r="R72" s="325" t="s">
        <v>78</v>
      </c>
      <c r="S72" s="325" t="s">
        <v>78</v>
      </c>
      <c r="T72" s="325" t="s">
        <v>78</v>
      </c>
      <c r="U72" s="71">
        <v>0</v>
      </c>
      <c r="V72" s="69"/>
      <c r="W72" s="70"/>
      <c r="X72" s="176">
        <v>0</v>
      </c>
      <c r="Y72" s="69">
        <f t="shared" si="83"/>
        <v>0</v>
      </c>
      <c r="Z72" s="96"/>
      <c r="AA72" s="205">
        <v>2500</v>
      </c>
      <c r="AB72" s="173">
        <f t="shared" si="85"/>
        <v>2500</v>
      </c>
      <c r="AC72" s="70" t="s">
        <v>78</v>
      </c>
      <c r="AD72" s="244">
        <v>0</v>
      </c>
      <c r="AE72" s="244"/>
      <c r="AF72" s="52"/>
      <c r="AG72" s="52">
        <f t="shared" si="55"/>
        <v>-2500</v>
      </c>
      <c r="AH72" s="58">
        <f t="shared" si="56"/>
        <v>-1</v>
      </c>
      <c r="AI72" s="63">
        <v>0</v>
      </c>
      <c r="AJ72" s="63">
        <v>0</v>
      </c>
      <c r="AM72" s="256">
        <f t="shared" si="57"/>
        <v>0</v>
      </c>
      <c r="AN72" s="251">
        <v>0</v>
      </c>
      <c r="AO72" s="220">
        <v>0</v>
      </c>
      <c r="AP72" s="535">
        <v>0</v>
      </c>
      <c r="AQ72" s="536">
        <v>0</v>
      </c>
      <c r="AR72" s="39">
        <f t="shared" si="73"/>
        <v>0</v>
      </c>
      <c r="AS72" s="62">
        <f t="shared" si="74"/>
        <v>0</v>
      </c>
      <c r="AT72" s="65">
        <f t="shared" si="75"/>
        <v>0</v>
      </c>
      <c r="AU72" s="51" t="e">
        <f t="shared" si="76"/>
        <v>#DIV/0!</v>
      </c>
      <c r="AV72" s="65">
        <f t="shared" si="58"/>
        <v>0</v>
      </c>
      <c r="AW72" s="51" t="e">
        <f t="shared" si="59"/>
        <v>#DIV/0!</v>
      </c>
      <c r="AX72" s="69"/>
      <c r="AY72" s="52">
        <f t="shared" si="27"/>
        <v>0</v>
      </c>
      <c r="AZ72" s="58" t="e">
        <f t="shared" si="28"/>
        <v>#DIV/0!</v>
      </c>
      <c r="BA72" s="58"/>
      <c r="BB72" s="58"/>
      <c r="BC72" s="616">
        <f t="shared" si="77"/>
        <v>0</v>
      </c>
      <c r="BD72" s="31"/>
      <c r="BE72" s="69"/>
      <c r="BF72" s="52">
        <f t="shared" si="60"/>
        <v>0</v>
      </c>
      <c r="BG72" s="58" t="e">
        <f t="shared" si="61"/>
        <v>#DIV/0!</v>
      </c>
      <c r="BH72" s="65"/>
      <c r="BI72" s="65"/>
      <c r="BJ72" s="65"/>
      <c r="BK72" s="65"/>
      <c r="BL72" s="39">
        <f t="shared" si="31"/>
        <v>0</v>
      </c>
      <c r="BM72" s="39">
        <f t="shared" si="62"/>
        <v>0</v>
      </c>
      <c r="BN72" s="39">
        <v>0</v>
      </c>
      <c r="BO72" s="534"/>
      <c r="BP72" s="39">
        <f t="shared" ref="BP72:BP135" si="86">BO72-BE72</f>
        <v>0</v>
      </c>
      <c r="BQ72" s="51" t="e">
        <f t="shared" si="63"/>
        <v>#DIV/0!</v>
      </c>
      <c r="BR72" s="99" t="e">
        <f t="shared" ref="BR72:BR135" si="87">BP72/BE72</f>
        <v>#DIV/0!</v>
      </c>
      <c r="BS72" s="40"/>
      <c r="BV72" s="40"/>
      <c r="BW72" s="39">
        <f t="shared" si="64"/>
        <v>0</v>
      </c>
      <c r="BX72" s="39">
        <f t="shared" si="65"/>
        <v>0</v>
      </c>
      <c r="BY72" s="51" t="e">
        <f t="shared" si="66"/>
        <v>#DIV/0!</v>
      </c>
    </row>
    <row r="73" spans="1:77" s="54" customFormat="1" ht="18" customHeight="1" thickBot="1">
      <c r="A73" s="130" t="s">
        <v>215</v>
      </c>
      <c r="B73" s="328" t="s">
        <v>78</v>
      </c>
      <c r="C73" s="328" t="s">
        <v>78</v>
      </c>
      <c r="D73" s="328" t="s">
        <v>78</v>
      </c>
      <c r="E73" s="328" t="s">
        <v>78</v>
      </c>
      <c r="F73" s="328" t="s">
        <v>78</v>
      </c>
      <c r="G73" s="328" t="s">
        <v>78</v>
      </c>
      <c r="H73" s="328" t="s">
        <v>78</v>
      </c>
      <c r="I73" s="329" t="s">
        <v>78</v>
      </c>
      <c r="J73" s="329" t="s">
        <v>78</v>
      </c>
      <c r="K73" s="329" t="s">
        <v>78</v>
      </c>
      <c r="L73" s="329" t="s">
        <v>78</v>
      </c>
      <c r="M73" s="329" t="s">
        <v>78</v>
      </c>
      <c r="N73" s="329" t="s">
        <v>78</v>
      </c>
      <c r="O73" s="329" t="s">
        <v>78</v>
      </c>
      <c r="P73" s="329" t="s">
        <v>78</v>
      </c>
      <c r="Q73" s="329" t="s">
        <v>78</v>
      </c>
      <c r="R73" s="329" t="s">
        <v>78</v>
      </c>
      <c r="S73" s="329" t="s">
        <v>78</v>
      </c>
      <c r="T73" s="329" t="s">
        <v>78</v>
      </c>
      <c r="X73" s="177"/>
      <c r="Y73" s="161"/>
      <c r="Z73" s="126"/>
      <c r="AA73" s="206"/>
      <c r="AB73" s="75"/>
      <c r="AC73" s="128"/>
      <c r="AD73" s="54">
        <v>0</v>
      </c>
      <c r="AE73" s="54">
        <v>23000</v>
      </c>
      <c r="AF73" s="75">
        <v>0</v>
      </c>
      <c r="AG73" s="75">
        <f t="shared" si="55"/>
        <v>0</v>
      </c>
      <c r="AH73" s="77" t="e">
        <f t="shared" si="56"/>
        <v>#DIV/0!</v>
      </c>
      <c r="AI73" s="94">
        <f>AF73</f>
        <v>0</v>
      </c>
      <c r="AJ73" s="94">
        <f>AF73</f>
        <v>0</v>
      </c>
      <c r="AM73" s="256">
        <f t="shared" si="57"/>
        <v>0</v>
      </c>
      <c r="AN73" s="54">
        <v>0</v>
      </c>
      <c r="AO73" s="220">
        <v>23000</v>
      </c>
      <c r="AP73" s="102">
        <v>0</v>
      </c>
      <c r="AQ73" s="102">
        <v>0</v>
      </c>
      <c r="AR73" s="102">
        <f t="shared" si="73"/>
        <v>0</v>
      </c>
      <c r="AS73" s="62">
        <f t="shared" si="74"/>
        <v>20787.692579999999</v>
      </c>
      <c r="AT73" s="65">
        <f t="shared" si="75"/>
        <v>20787.692579999999</v>
      </c>
      <c r="AU73" s="51" t="e">
        <f t="shared" si="76"/>
        <v>#DIV/0!</v>
      </c>
      <c r="AV73" s="65">
        <f t="shared" si="58"/>
        <v>20787.692579999999</v>
      </c>
      <c r="AW73" s="51" t="e">
        <f t="shared" si="59"/>
        <v>#DIV/0!</v>
      </c>
      <c r="AX73" s="75">
        <v>23000</v>
      </c>
      <c r="AY73" s="75">
        <f t="shared" ref="AY73:AY133" si="88">AX73-AF73</f>
        <v>23000</v>
      </c>
      <c r="AZ73" s="77" t="e">
        <f t="shared" ref="AZ73:AZ133" si="89">AY73/AF73</f>
        <v>#DIV/0!</v>
      </c>
      <c r="BA73" s="616">
        <v>23000</v>
      </c>
      <c r="BB73" s="616">
        <v>20787.692579999999</v>
      </c>
      <c r="BC73" s="616">
        <f t="shared" si="77"/>
        <v>2212.307420000001</v>
      </c>
      <c r="BD73" s="31">
        <f t="shared" si="78"/>
        <v>9.618727913043483E-2</v>
      </c>
      <c r="BE73" s="75">
        <v>23000</v>
      </c>
      <c r="BF73" s="75">
        <f t="shared" si="60"/>
        <v>0</v>
      </c>
      <c r="BG73" s="77">
        <f t="shared" si="61"/>
        <v>0</v>
      </c>
      <c r="BH73" s="94"/>
      <c r="BI73" s="94"/>
      <c r="BJ73" s="94"/>
      <c r="BK73" s="94"/>
      <c r="BL73" s="102">
        <f t="shared" ref="BL73:BL133" si="90">BE73+BH73+BI73+BJ73+BK73</f>
        <v>23000</v>
      </c>
      <c r="BM73" s="102">
        <f t="shared" si="62"/>
        <v>2212.307420000001</v>
      </c>
      <c r="BN73" s="102">
        <v>23000</v>
      </c>
      <c r="BO73" s="247">
        <v>23000</v>
      </c>
      <c r="BP73" s="39">
        <f t="shared" si="86"/>
        <v>0</v>
      </c>
      <c r="BQ73" s="55">
        <f t="shared" si="63"/>
        <v>0.10642390498541811</v>
      </c>
      <c r="BR73" s="99">
        <f t="shared" si="87"/>
        <v>0</v>
      </c>
      <c r="BS73" s="102"/>
      <c r="BV73" s="102"/>
      <c r="BW73" s="39">
        <f t="shared" si="64"/>
        <v>23000</v>
      </c>
      <c r="BX73" s="39">
        <f t="shared" si="65"/>
        <v>0</v>
      </c>
      <c r="BY73" s="51">
        <f t="shared" si="66"/>
        <v>0</v>
      </c>
    </row>
    <row r="74" spans="1:77" s="13" customFormat="1" ht="18" customHeight="1">
      <c r="A74" s="64" t="s">
        <v>56</v>
      </c>
      <c r="B74" s="12">
        <f t="shared" ref="B74:I74" si="91">SUM(B51:B73)</f>
        <v>90495</v>
      </c>
      <c r="C74" s="12">
        <f t="shared" si="91"/>
        <v>107152</v>
      </c>
      <c r="D74" s="25">
        <f t="shared" si="67"/>
        <v>16657</v>
      </c>
      <c r="E74" s="359">
        <f t="shared" si="79"/>
        <v>0.18406541797889386</v>
      </c>
      <c r="F74" s="12">
        <f t="shared" si="91"/>
        <v>114224</v>
      </c>
      <c r="G74" s="12">
        <f t="shared" si="68"/>
        <v>7072</v>
      </c>
      <c r="H74" s="15">
        <f t="shared" si="80"/>
        <v>6.5999701358817386E-2</v>
      </c>
      <c r="I74" s="12">
        <f t="shared" si="91"/>
        <v>134944</v>
      </c>
      <c r="J74" s="12">
        <f t="shared" si="69"/>
        <v>20720</v>
      </c>
      <c r="K74" s="15">
        <f t="shared" si="81"/>
        <v>0.18139795489564364</v>
      </c>
      <c r="L74" s="12">
        <f>SUM(L51:L73)</f>
        <v>151305</v>
      </c>
      <c r="M74" s="12">
        <v>5290</v>
      </c>
      <c r="N74" s="36">
        <v>3.6575332047319768E-2</v>
      </c>
      <c r="O74" s="12">
        <f>SUM(O51:O73)</f>
        <v>197591</v>
      </c>
      <c r="P74" s="12">
        <f t="shared" si="82"/>
        <v>46286</v>
      </c>
      <c r="Q74" s="36">
        <f t="shared" si="48"/>
        <v>0.30591189980502959</v>
      </c>
      <c r="R74" s="12">
        <f>SUM(R51:R73)</f>
        <v>251763</v>
      </c>
      <c r="S74" s="12">
        <f t="shared" si="49"/>
        <v>54172</v>
      </c>
      <c r="T74" s="36">
        <f t="shared" si="50"/>
        <v>0.2741622847194457</v>
      </c>
      <c r="U74" s="12">
        <f>SUM(U51:U73)</f>
        <v>373310</v>
      </c>
      <c r="V74" s="12" t="e">
        <f t="shared" ref="V74" si="92">SUM(V51:V72)</f>
        <v>#VALUE!</v>
      </c>
      <c r="W74" s="36" t="e">
        <f>V74/R74</f>
        <v>#VALUE!</v>
      </c>
      <c r="X74" s="12">
        <f>SUM(X51:X73)</f>
        <v>403260</v>
      </c>
      <c r="Y74" s="12">
        <f>X74-U74</f>
        <v>29950</v>
      </c>
      <c r="Z74" s="98">
        <f>Y74/U74</f>
        <v>8.0228228549998656E-2</v>
      </c>
      <c r="AA74" s="12">
        <f>SUM(AA51:AA73)</f>
        <v>391021</v>
      </c>
      <c r="AB74" s="165">
        <f>AA74-X74</f>
        <v>-12239</v>
      </c>
      <c r="AC74" s="97">
        <f>AB74/X74</f>
        <v>-3.0350146307593116E-2</v>
      </c>
      <c r="AD74" s="12">
        <f>SUM(AD51:AD73)+6500</f>
        <v>136931</v>
      </c>
      <c r="AE74" s="12">
        <f>SUM(AE51:AE73)</f>
        <v>187581</v>
      </c>
      <c r="AF74" s="12">
        <f>SUM(AF51:AF73)</f>
        <v>265865</v>
      </c>
      <c r="AG74" s="52">
        <f>AF74-AA74</f>
        <v>-125156</v>
      </c>
      <c r="AH74" s="58">
        <f>AG74/AA74</f>
        <v>-0.32007488088875025</v>
      </c>
      <c r="AI74" s="12">
        <f t="shared" ref="AI74:AN74" si="93">SUM(AI51:AI73)</f>
        <v>272088</v>
      </c>
      <c r="AJ74" s="12">
        <f t="shared" si="93"/>
        <v>268401</v>
      </c>
      <c r="AK74" s="65">
        <f t="shared" si="93"/>
        <v>96729</v>
      </c>
      <c r="AL74" s="65">
        <f t="shared" si="93"/>
        <v>40131</v>
      </c>
      <c r="AM74" s="256">
        <f t="shared" si="93"/>
        <v>136860</v>
      </c>
      <c r="AN74" s="256">
        <f t="shared" si="93"/>
        <v>102735</v>
      </c>
      <c r="AO74" s="13">
        <f t="shared" ref="AO74:AQ74" si="94">SUM(AO51:AO73)</f>
        <v>262932</v>
      </c>
      <c r="AP74" s="30">
        <f t="shared" si="94"/>
        <v>19495</v>
      </c>
      <c r="AQ74" s="30">
        <f t="shared" si="94"/>
        <v>2148</v>
      </c>
      <c r="AR74" s="39">
        <f t="shared" si="73"/>
        <v>21643</v>
      </c>
      <c r="AS74" s="65">
        <f>BB74+AR74</f>
        <v>277041.65783000004</v>
      </c>
      <c r="AT74" s="539">
        <f t="shared" si="75"/>
        <v>11176.65783000004</v>
      </c>
      <c r="AU74" s="543">
        <f t="shared" si="76"/>
        <v>4.2038846143719708E-2</v>
      </c>
      <c r="AV74" s="13">
        <f t="shared" si="58"/>
        <v>11176.65783000004</v>
      </c>
      <c r="AW74" s="15">
        <f t="shared" si="59"/>
        <v>4.2038846143719708E-2</v>
      </c>
      <c r="AX74" s="12">
        <f>SUM(AX51:AX73)</f>
        <v>285903</v>
      </c>
      <c r="AY74" s="52">
        <f t="shared" si="88"/>
        <v>20038</v>
      </c>
      <c r="AZ74" s="58">
        <f t="shared" si="89"/>
        <v>7.5369078291614169E-2</v>
      </c>
      <c r="BA74" s="58"/>
      <c r="BB74" s="65">
        <f>SUM(BB51:BB73)</f>
        <v>255398.65783000004</v>
      </c>
      <c r="BC74" s="58"/>
      <c r="BD74" s="58"/>
      <c r="BE74" s="12">
        <f>SUM(BE51:BE73)</f>
        <v>268666</v>
      </c>
      <c r="BF74" s="52">
        <f t="shared" si="60"/>
        <v>-17237</v>
      </c>
      <c r="BG74" s="58">
        <f t="shared" si="61"/>
        <v>-6.028967866724029E-2</v>
      </c>
      <c r="BH74" s="65">
        <f>SUM(BH51:BH73)</f>
        <v>17094</v>
      </c>
      <c r="BI74" s="65"/>
      <c r="BJ74" s="65"/>
      <c r="BK74" s="65">
        <f>SUM(BK51:BK73)</f>
        <v>797</v>
      </c>
      <c r="BL74" s="39">
        <f t="shared" si="90"/>
        <v>286557</v>
      </c>
      <c r="BM74" s="39">
        <f t="shared" si="62"/>
        <v>9515.3421699999599</v>
      </c>
      <c r="BN74" s="30">
        <f>SUM(BN51:BN73)</f>
        <v>297349</v>
      </c>
      <c r="BO74" s="33">
        <f>SUM(BO51:BO73)</f>
        <v>291790</v>
      </c>
      <c r="BP74" s="39">
        <f t="shared" si="86"/>
        <v>23124</v>
      </c>
      <c r="BQ74" s="51">
        <f t="shared" si="63"/>
        <v>3.4346250468363933E-2</v>
      </c>
      <c r="BR74" s="99">
        <f t="shared" si="87"/>
        <v>8.60696924806265E-2</v>
      </c>
      <c r="BS74" s="30">
        <f>SUM(BS51:BS73)</f>
        <v>27392</v>
      </c>
      <c r="BV74" s="30">
        <f>SUM(BV51:BV73)</f>
        <v>538</v>
      </c>
      <c r="BW74" s="659">
        <f t="shared" si="64"/>
        <v>325279</v>
      </c>
      <c r="BX74" s="636">
        <f t="shared" si="65"/>
        <v>38722</v>
      </c>
      <c r="BY74" s="543">
        <f t="shared" si="66"/>
        <v>0.1351284386701424</v>
      </c>
    </row>
    <row r="75" spans="1:77" s="13" customFormat="1" ht="18" customHeight="1">
      <c r="A75" s="85"/>
      <c r="D75" s="323"/>
      <c r="E75" s="352"/>
      <c r="G75" s="10"/>
      <c r="H75" s="14"/>
      <c r="J75" s="10"/>
      <c r="K75" s="14"/>
      <c r="L75" s="12"/>
      <c r="M75" s="12"/>
      <c r="N75" s="36"/>
      <c r="O75" s="12"/>
      <c r="P75" s="12"/>
      <c r="Q75" s="36"/>
      <c r="R75" s="12"/>
      <c r="S75" s="12"/>
      <c r="T75" s="36"/>
      <c r="U75" s="12"/>
      <c r="V75" s="12"/>
      <c r="W75" s="36"/>
      <c r="X75" s="12"/>
      <c r="Y75" s="12"/>
      <c r="Z75" s="98"/>
      <c r="AA75" s="12"/>
      <c r="AB75" s="165"/>
      <c r="AC75" s="97"/>
      <c r="AD75" s="12">
        <v>6500</v>
      </c>
      <c r="AE75" s="12"/>
      <c r="AF75" s="12"/>
      <c r="AG75" s="52"/>
      <c r="AH75" s="58"/>
      <c r="AI75" s="12"/>
      <c r="AJ75" s="12"/>
      <c r="AK75" s="65"/>
      <c r="AL75" s="65"/>
      <c r="AM75" s="256"/>
      <c r="AN75" s="256"/>
      <c r="AT75" s="28"/>
      <c r="AU75" s="51"/>
      <c r="AW75" s="15"/>
      <c r="AX75" s="12"/>
      <c r="AY75" s="52"/>
      <c r="AZ75" s="58"/>
      <c r="BA75" s="58"/>
      <c r="BB75" s="58"/>
      <c r="BC75" s="58"/>
      <c r="BD75" s="58"/>
      <c r="BE75" s="12"/>
      <c r="BF75" s="52"/>
      <c r="BG75" s="58"/>
      <c r="BH75" s="65"/>
      <c r="BI75" s="65"/>
      <c r="BJ75" s="65"/>
      <c r="BK75" s="65"/>
      <c r="BL75" s="39"/>
      <c r="BM75" s="39"/>
      <c r="BN75" s="39"/>
      <c r="BO75" s="534"/>
      <c r="BP75" s="39">
        <f t="shared" si="86"/>
        <v>0</v>
      </c>
      <c r="BQ75" s="51"/>
      <c r="BR75" s="99" t="e">
        <f t="shared" si="87"/>
        <v>#DIV/0!</v>
      </c>
      <c r="BS75" s="30"/>
      <c r="BW75" s="280">
        <f t="shared" si="64"/>
        <v>0</v>
      </c>
      <c r="BX75" s="39">
        <f t="shared" si="65"/>
        <v>0</v>
      </c>
      <c r="BY75" s="51" t="e">
        <f t="shared" si="66"/>
        <v>#DIV/0!</v>
      </c>
    </row>
    <row r="76" spans="1:77" s="13" customFormat="1" ht="18" customHeight="1">
      <c r="A76" s="64"/>
      <c r="D76" s="323"/>
      <c r="E76" s="352"/>
      <c r="G76" s="10"/>
      <c r="H76" s="14"/>
      <c r="J76" s="10"/>
      <c r="K76" s="14"/>
      <c r="L76" s="12"/>
      <c r="M76" s="12"/>
      <c r="N76" s="36"/>
      <c r="O76" s="12"/>
      <c r="P76" s="12"/>
      <c r="Q76" s="36"/>
      <c r="R76" s="12"/>
      <c r="S76" s="12"/>
      <c r="T76" s="36"/>
      <c r="U76" s="12"/>
      <c r="V76" s="12"/>
      <c r="W76" s="36"/>
      <c r="X76" s="12"/>
      <c r="Y76" s="12"/>
      <c r="Z76" s="98"/>
      <c r="AA76" s="12"/>
      <c r="AB76" s="165"/>
      <c r="AC76" s="97"/>
      <c r="AD76" s="12">
        <f>AD75+AD74</f>
        <v>143431</v>
      </c>
      <c r="AE76" s="12"/>
      <c r="AF76" s="12"/>
      <c r="AG76" s="52"/>
      <c r="AH76" s="58"/>
      <c r="AI76" s="12"/>
      <c r="AJ76" s="12"/>
      <c r="AK76" s="65"/>
      <c r="AL76" s="65"/>
      <c r="AM76" s="256"/>
      <c r="AN76" s="256"/>
      <c r="AT76" s="28"/>
      <c r="AU76" s="51"/>
      <c r="AV76" s="12">
        <f>AS74-AF76</f>
        <v>277041.65783000004</v>
      </c>
      <c r="AW76" s="15" t="e">
        <f>AV76/AF76</f>
        <v>#DIV/0!</v>
      </c>
      <c r="AX76" s="12"/>
      <c r="AY76" s="52"/>
      <c r="AZ76" s="58"/>
      <c r="BA76" s="58"/>
      <c r="BB76" s="58"/>
      <c r="BC76" s="58"/>
      <c r="BD76" s="58"/>
      <c r="BE76" s="12"/>
      <c r="BF76" s="52"/>
      <c r="BG76" s="58"/>
      <c r="BH76" s="65"/>
      <c r="BI76" s="65"/>
      <c r="BJ76" s="65"/>
      <c r="BK76" s="65"/>
      <c r="BL76" s="39"/>
      <c r="BM76" s="39"/>
      <c r="BN76" s="39"/>
      <c r="BO76" s="534"/>
      <c r="BP76" s="39">
        <f t="shared" si="86"/>
        <v>0</v>
      </c>
      <c r="BQ76" s="51"/>
      <c r="BR76" s="99" t="e">
        <f t="shared" si="87"/>
        <v>#DIV/0!</v>
      </c>
      <c r="BS76" s="30"/>
      <c r="BW76" s="280">
        <f t="shared" si="64"/>
        <v>0</v>
      </c>
      <c r="BX76" s="39">
        <f t="shared" si="65"/>
        <v>0</v>
      </c>
      <c r="BY76" s="51" t="e">
        <f t="shared" si="66"/>
        <v>#DIV/0!</v>
      </c>
    </row>
    <row r="77" spans="1:77" s="13" customFormat="1" ht="18" customHeight="1">
      <c r="A77" s="64"/>
      <c r="D77" s="323"/>
      <c r="E77" s="352"/>
      <c r="G77" s="10"/>
      <c r="H77" s="14"/>
      <c r="J77" s="10"/>
      <c r="K77" s="14"/>
      <c r="L77" s="12"/>
      <c r="M77" s="12"/>
      <c r="N77" s="36"/>
      <c r="O77" s="12"/>
      <c r="P77" s="12"/>
      <c r="Q77" s="36"/>
      <c r="R77" s="12"/>
      <c r="S77" s="52"/>
      <c r="T77" s="58"/>
      <c r="U77" s="52"/>
      <c r="V77" s="52"/>
      <c r="W77" s="58"/>
      <c r="X77" s="180"/>
      <c r="Y77" s="163"/>
      <c r="Z77" s="98"/>
      <c r="AA77" s="202"/>
      <c r="AB77" s="172"/>
      <c r="AC77" s="97"/>
      <c r="AD77" s="13" t="s">
        <v>242</v>
      </c>
      <c r="AF77" s="12"/>
      <c r="AG77" s="12"/>
      <c r="AX77" s="12"/>
      <c r="AY77" s="52"/>
      <c r="AZ77" s="58"/>
      <c r="BA77" s="58"/>
      <c r="BB77" s="58"/>
      <c r="BC77" s="58"/>
      <c r="BD77" s="58"/>
      <c r="BE77" s="12"/>
      <c r="BF77" s="52"/>
      <c r="BG77" s="58"/>
      <c r="BH77" s="65"/>
      <c r="BI77" s="65"/>
      <c r="BJ77" s="65"/>
      <c r="BK77" s="65"/>
      <c r="BL77" s="39"/>
      <c r="BM77" s="39"/>
      <c r="BN77" s="39"/>
      <c r="BO77" s="534"/>
      <c r="BP77" s="39">
        <f t="shared" si="86"/>
        <v>0</v>
      </c>
      <c r="BQ77" s="51"/>
      <c r="BR77" s="99" t="e">
        <f t="shared" si="87"/>
        <v>#DIV/0!</v>
      </c>
      <c r="BS77" s="30"/>
      <c r="BW77" s="280">
        <f t="shared" si="64"/>
        <v>0</v>
      </c>
      <c r="BX77" s="39">
        <f t="shared" si="65"/>
        <v>0</v>
      </c>
      <c r="BY77" s="51" t="e">
        <f t="shared" si="66"/>
        <v>#DIV/0!</v>
      </c>
    </row>
    <row r="78" spans="1:77" s="13" customFormat="1" ht="18" customHeight="1">
      <c r="A78" s="73" t="s">
        <v>82</v>
      </c>
      <c r="D78" s="323"/>
      <c r="E78" s="352"/>
      <c r="G78" s="10"/>
      <c r="H78" s="14"/>
      <c r="J78" s="10"/>
      <c r="K78" s="14"/>
      <c r="L78" s="12"/>
      <c r="M78" s="12"/>
      <c r="N78" s="36"/>
      <c r="O78" s="12"/>
      <c r="P78" s="12"/>
      <c r="Q78" s="36"/>
      <c r="R78" s="12"/>
      <c r="S78" s="52"/>
      <c r="T78" s="58"/>
      <c r="U78" s="52"/>
      <c r="V78" s="52"/>
      <c r="W78" s="58"/>
      <c r="X78" s="180"/>
      <c r="Y78" s="163"/>
      <c r="Z78" s="98"/>
      <c r="AA78" s="202"/>
      <c r="AB78" s="172"/>
      <c r="AC78" s="97"/>
      <c r="AD78" s="12"/>
      <c r="AF78" s="12"/>
      <c r="AG78" s="12"/>
      <c r="AH78" s="12"/>
      <c r="AV78" s="28"/>
      <c r="AX78" s="12"/>
      <c r="AY78" s="52"/>
      <c r="AZ78" s="58"/>
      <c r="BA78" s="58"/>
      <c r="BB78" s="58"/>
      <c r="BC78" s="58"/>
      <c r="BD78" s="58"/>
      <c r="BE78" s="12"/>
      <c r="BF78" s="52"/>
      <c r="BG78" s="58"/>
      <c r="BH78" s="65"/>
      <c r="BI78" s="65"/>
      <c r="BJ78" s="65"/>
      <c r="BK78" s="65"/>
      <c r="BL78" s="39"/>
      <c r="BM78" s="39"/>
      <c r="BN78" s="39"/>
      <c r="BO78" s="534"/>
      <c r="BP78" s="39">
        <f t="shared" si="86"/>
        <v>0</v>
      </c>
      <c r="BQ78" s="51"/>
      <c r="BR78" s="99" t="e">
        <f t="shared" si="87"/>
        <v>#DIV/0!</v>
      </c>
      <c r="BS78" s="30"/>
      <c r="BW78" s="280">
        <f t="shared" si="64"/>
        <v>0</v>
      </c>
      <c r="BX78" s="39">
        <f t="shared" si="65"/>
        <v>0</v>
      </c>
      <c r="BY78" s="51" t="e">
        <f t="shared" si="66"/>
        <v>#DIV/0!</v>
      </c>
    </row>
    <row r="79" spans="1:77" s="13" customFormat="1" ht="18" customHeight="1">
      <c r="A79" s="73" t="s">
        <v>170</v>
      </c>
      <c r="D79" s="323"/>
      <c r="E79" s="352"/>
      <c r="G79" s="10"/>
      <c r="H79" s="14"/>
      <c r="J79" s="10"/>
      <c r="K79" s="14"/>
      <c r="L79" s="12"/>
      <c r="M79" s="12"/>
      <c r="N79" s="36"/>
      <c r="O79" s="12"/>
      <c r="P79" s="12"/>
      <c r="Q79" s="36"/>
      <c r="R79" s="12"/>
      <c r="S79" s="52"/>
      <c r="T79" s="58"/>
      <c r="U79" s="52"/>
      <c r="V79" s="52"/>
      <c r="W79" s="58"/>
      <c r="X79" s="180"/>
      <c r="Y79" s="163"/>
      <c r="Z79" s="98"/>
      <c r="AA79" s="202"/>
      <c r="AB79" s="172"/>
      <c r="AC79" s="97"/>
      <c r="AF79" s="12"/>
      <c r="AG79" s="12"/>
      <c r="AV79" s="28"/>
      <c r="AX79" s="12"/>
      <c r="AY79" s="52"/>
      <c r="AZ79" s="58"/>
      <c r="BA79" s="58"/>
      <c r="BB79" s="58"/>
      <c r="BC79" s="58"/>
      <c r="BD79" s="58"/>
      <c r="BE79" s="12"/>
      <c r="BF79" s="52"/>
      <c r="BG79" s="58"/>
      <c r="BH79" s="65"/>
      <c r="BI79" s="65"/>
      <c r="BJ79" s="65"/>
      <c r="BK79" s="65"/>
      <c r="BL79" s="39"/>
      <c r="BM79" s="39"/>
      <c r="BN79" s="39"/>
      <c r="BO79" s="534"/>
      <c r="BP79" s="39">
        <f t="shared" si="86"/>
        <v>0</v>
      </c>
      <c r="BQ79" s="51"/>
      <c r="BR79" s="99" t="e">
        <f t="shared" si="87"/>
        <v>#DIV/0!</v>
      </c>
      <c r="BS79" s="30"/>
      <c r="BW79" s="280">
        <f t="shared" si="64"/>
        <v>0</v>
      </c>
      <c r="BX79" s="39">
        <f t="shared" si="65"/>
        <v>0</v>
      </c>
      <c r="BY79" s="51" t="e">
        <f t="shared" si="66"/>
        <v>#DIV/0!</v>
      </c>
    </row>
    <row r="80" spans="1:77" s="13" customFormat="1" ht="18" customHeight="1">
      <c r="A80" s="73" t="s">
        <v>171</v>
      </c>
      <c r="D80" s="323"/>
      <c r="E80" s="352"/>
      <c r="G80" s="10"/>
      <c r="H80" s="14"/>
      <c r="J80" s="10"/>
      <c r="K80" s="14"/>
      <c r="L80" s="12"/>
      <c r="M80" s="12"/>
      <c r="N80" s="36"/>
      <c r="O80" s="12"/>
      <c r="P80" s="12"/>
      <c r="Q80" s="36"/>
      <c r="R80" s="12"/>
      <c r="S80" s="52"/>
      <c r="T80" s="58"/>
      <c r="U80" s="52"/>
      <c r="V80" s="52"/>
      <c r="W80" s="58"/>
      <c r="X80" s="180"/>
      <c r="Y80" s="163"/>
      <c r="Z80" s="98"/>
      <c r="AA80" s="202"/>
      <c r="AB80" s="172"/>
      <c r="AC80" s="97"/>
      <c r="AF80" s="12"/>
      <c r="AG80" s="12"/>
      <c r="AX80" s="12"/>
      <c r="AY80" s="52"/>
      <c r="AZ80" s="58"/>
      <c r="BA80" s="58"/>
      <c r="BB80" s="58"/>
      <c r="BC80" s="58"/>
      <c r="BD80" s="58"/>
      <c r="BE80" s="12"/>
      <c r="BF80" s="52"/>
      <c r="BG80" s="58"/>
      <c r="BH80" s="65"/>
      <c r="BI80" s="65"/>
      <c r="BJ80" s="65"/>
      <c r="BK80" s="65"/>
      <c r="BL80" s="39"/>
      <c r="BM80" s="39"/>
      <c r="BN80" s="39"/>
      <c r="BO80" s="534"/>
      <c r="BP80" s="39">
        <f t="shared" si="86"/>
        <v>0</v>
      </c>
      <c r="BQ80" s="51"/>
      <c r="BR80" s="99" t="e">
        <f t="shared" si="87"/>
        <v>#DIV/0!</v>
      </c>
      <c r="BS80" s="30"/>
      <c r="BW80" s="280">
        <f t="shared" si="64"/>
        <v>0</v>
      </c>
      <c r="BX80" s="39">
        <f t="shared" si="65"/>
        <v>0</v>
      </c>
      <c r="BY80" s="51" t="e">
        <f t="shared" si="66"/>
        <v>#DIV/0!</v>
      </c>
    </row>
    <row r="81" spans="1:77" s="13" customFormat="1" ht="18" customHeight="1">
      <c r="A81" s="73" t="s">
        <v>172</v>
      </c>
      <c r="D81" s="323"/>
      <c r="E81" s="352"/>
      <c r="G81" s="10"/>
      <c r="H81" s="14"/>
      <c r="J81" s="10"/>
      <c r="K81" s="14"/>
      <c r="L81" s="12"/>
      <c r="M81" s="12"/>
      <c r="N81" s="36"/>
      <c r="O81" s="12"/>
      <c r="P81" s="12"/>
      <c r="Q81" s="36"/>
      <c r="R81" s="12"/>
      <c r="S81" s="52"/>
      <c r="T81" s="58"/>
      <c r="U81" s="52"/>
      <c r="V81" s="52"/>
      <c r="W81" s="58"/>
      <c r="X81" s="180"/>
      <c r="Y81" s="163"/>
      <c r="Z81" s="98"/>
      <c r="AA81" s="202"/>
      <c r="AB81" s="172"/>
      <c r="AC81" s="97"/>
      <c r="AF81" s="12"/>
      <c r="AG81" s="12"/>
      <c r="AX81" s="12"/>
      <c r="AY81" s="52"/>
      <c r="AZ81" s="58"/>
      <c r="BA81" s="58"/>
      <c r="BB81" s="58"/>
      <c r="BC81" s="58"/>
      <c r="BD81" s="58"/>
      <c r="BE81" s="12"/>
      <c r="BF81" s="52"/>
      <c r="BG81" s="58"/>
      <c r="BH81" s="65"/>
      <c r="BI81" s="65"/>
      <c r="BJ81" s="65"/>
      <c r="BK81" s="65"/>
      <c r="BL81" s="39"/>
      <c r="BM81" s="39"/>
      <c r="BN81" s="39"/>
      <c r="BO81" s="534"/>
      <c r="BP81" s="39">
        <f t="shared" si="86"/>
        <v>0</v>
      </c>
      <c r="BQ81" s="51"/>
      <c r="BR81" s="99" t="e">
        <f t="shared" si="87"/>
        <v>#DIV/0!</v>
      </c>
      <c r="BS81" s="30"/>
      <c r="BW81" s="280">
        <f t="shared" si="64"/>
        <v>0</v>
      </c>
      <c r="BX81" s="39">
        <f t="shared" si="65"/>
        <v>0</v>
      </c>
      <c r="BY81" s="51" t="e">
        <f t="shared" si="66"/>
        <v>#DIV/0!</v>
      </c>
    </row>
    <row r="82" spans="1:77" s="13" customFormat="1" ht="18" customHeight="1">
      <c r="A82" s="73" t="s">
        <v>224</v>
      </c>
      <c r="D82" s="323"/>
      <c r="E82" s="352"/>
      <c r="G82" s="10"/>
      <c r="H82" s="14"/>
      <c r="J82" s="10"/>
      <c r="K82" s="14"/>
      <c r="L82" s="12"/>
      <c r="M82" s="12"/>
      <c r="N82" s="36"/>
      <c r="O82" s="12"/>
      <c r="P82" s="12"/>
      <c r="Q82" s="36"/>
      <c r="R82" s="12"/>
      <c r="S82" s="52"/>
      <c r="T82" s="58"/>
      <c r="U82" s="52"/>
      <c r="V82" s="52"/>
      <c r="W82" s="58"/>
      <c r="X82" s="180"/>
      <c r="Y82" s="163"/>
      <c r="Z82" s="98"/>
      <c r="AA82" s="202"/>
      <c r="AB82" s="172"/>
      <c r="AC82" s="97"/>
      <c r="AF82" s="12"/>
      <c r="AG82" s="12"/>
      <c r="AX82" s="12"/>
      <c r="AY82" s="52"/>
      <c r="AZ82" s="58"/>
      <c r="BA82" s="58"/>
      <c r="BB82" s="58"/>
      <c r="BC82" s="58"/>
      <c r="BD82" s="58"/>
      <c r="BE82" s="12"/>
      <c r="BF82" s="52"/>
      <c r="BG82" s="58"/>
      <c r="BH82" s="65"/>
      <c r="BI82" s="65"/>
      <c r="BJ82" s="65"/>
      <c r="BK82" s="65"/>
      <c r="BL82" s="39"/>
      <c r="BM82" s="39"/>
      <c r="BN82" s="39"/>
      <c r="BO82" s="534"/>
      <c r="BP82" s="39">
        <f t="shared" si="86"/>
        <v>0</v>
      </c>
      <c r="BQ82" s="51"/>
      <c r="BR82" s="99" t="e">
        <f t="shared" si="87"/>
        <v>#DIV/0!</v>
      </c>
      <c r="BS82" s="30"/>
      <c r="BW82" s="280">
        <f t="shared" si="64"/>
        <v>0</v>
      </c>
      <c r="BX82" s="39">
        <f t="shared" si="65"/>
        <v>0</v>
      </c>
      <c r="BY82" s="51" t="e">
        <f t="shared" si="66"/>
        <v>#DIV/0!</v>
      </c>
    </row>
    <row r="83" spans="1:77" ht="18" customHeight="1">
      <c r="A83" s="73"/>
      <c r="D83" s="323"/>
      <c r="E83" s="352"/>
      <c r="G83" s="10"/>
      <c r="J83" s="10"/>
      <c r="L83" s="63"/>
      <c r="M83" s="63"/>
      <c r="N83" s="72"/>
      <c r="O83" s="63"/>
      <c r="P83" s="63"/>
      <c r="Q83" s="72"/>
      <c r="R83" s="52"/>
      <c r="S83" s="52"/>
      <c r="T83" s="58"/>
      <c r="U83" s="52"/>
      <c r="V83" s="52"/>
      <c r="W83" s="58"/>
      <c r="AB83" s="172"/>
      <c r="BH83" s="65"/>
      <c r="BI83" s="65"/>
      <c r="BJ83" s="65"/>
      <c r="BK83" s="65"/>
      <c r="BL83" s="39"/>
      <c r="BM83" s="39"/>
      <c r="BN83" s="39"/>
      <c r="BO83" s="534"/>
      <c r="BP83" s="39">
        <f t="shared" si="86"/>
        <v>0</v>
      </c>
      <c r="BQ83" s="51"/>
      <c r="BR83" s="99" t="e">
        <f t="shared" si="87"/>
        <v>#DIV/0!</v>
      </c>
      <c r="BW83" s="280">
        <f t="shared" si="64"/>
        <v>0</v>
      </c>
      <c r="BX83" s="39">
        <f t="shared" si="65"/>
        <v>0</v>
      </c>
      <c r="BY83" s="51" t="e">
        <f t="shared" si="66"/>
        <v>#DIV/0!</v>
      </c>
    </row>
    <row r="84" spans="1:77" s="109" customFormat="1" ht="18" customHeight="1">
      <c r="A84" s="116" t="s">
        <v>57</v>
      </c>
      <c r="D84" s="354"/>
      <c r="E84" s="357"/>
      <c r="G84" s="358"/>
      <c r="H84" s="360"/>
      <c r="J84" s="358"/>
      <c r="K84" s="360"/>
      <c r="L84" s="105"/>
      <c r="M84" s="105"/>
      <c r="N84" s="117"/>
      <c r="O84" s="105"/>
      <c r="P84" s="105"/>
      <c r="Q84" s="117"/>
      <c r="R84" s="107"/>
      <c r="S84" s="107"/>
      <c r="T84" s="125"/>
      <c r="U84" s="107"/>
      <c r="V84" s="107"/>
      <c r="W84" s="125"/>
      <c r="X84" s="175"/>
      <c r="Y84" s="158"/>
      <c r="Z84" s="111"/>
      <c r="AA84" s="201"/>
      <c r="AB84" s="170"/>
      <c r="AC84" s="113"/>
      <c r="AF84" s="107"/>
      <c r="AG84" s="107"/>
      <c r="AX84" s="107"/>
      <c r="AY84" s="107"/>
      <c r="AZ84" s="125"/>
      <c r="BA84" s="125"/>
      <c r="BB84" s="125"/>
      <c r="BC84" s="125"/>
      <c r="BD84" s="125"/>
      <c r="BE84" s="107"/>
      <c r="BF84" s="107"/>
      <c r="BG84" s="125"/>
      <c r="BH84" s="110"/>
      <c r="BI84" s="110"/>
      <c r="BJ84" s="110"/>
      <c r="BK84" s="110"/>
      <c r="BL84" s="554"/>
      <c r="BM84" s="554"/>
      <c r="BN84" s="554"/>
      <c r="BO84" s="680"/>
      <c r="BP84" s="39">
        <f t="shared" si="86"/>
        <v>0</v>
      </c>
      <c r="BQ84" s="108"/>
      <c r="BR84" s="99" t="e">
        <f t="shared" si="87"/>
        <v>#DIV/0!</v>
      </c>
      <c r="BS84" s="554"/>
      <c r="BW84" s="298"/>
      <c r="BX84" s="554"/>
      <c r="BY84" s="108"/>
    </row>
    <row r="85" spans="1:77" s="79" customFormat="1" ht="18" customHeight="1">
      <c r="A85" s="59" t="s">
        <v>9</v>
      </c>
      <c r="B85" s="323">
        <f>297327+5086</f>
        <v>302413</v>
      </c>
      <c r="C85" s="323">
        <f>309820+5919</f>
        <v>315739</v>
      </c>
      <c r="D85" s="323">
        <f t="shared" si="67"/>
        <v>13326</v>
      </c>
      <c r="E85" s="352">
        <f t="shared" si="79"/>
        <v>4.406556596442613E-2</v>
      </c>
      <c r="F85" s="582">
        <f>315155+7615</f>
        <v>322770</v>
      </c>
      <c r="G85" s="582">
        <f t="shared" si="68"/>
        <v>7031</v>
      </c>
      <c r="H85" s="274">
        <f t="shared" si="80"/>
        <v>2.2268392564744933E-2</v>
      </c>
      <c r="I85" s="582">
        <f>327688+12747</f>
        <v>340435</v>
      </c>
      <c r="J85" s="582">
        <f t="shared" si="69"/>
        <v>17665</v>
      </c>
      <c r="K85" s="274">
        <f t="shared" si="81"/>
        <v>5.4729373857545623E-2</v>
      </c>
      <c r="L85" s="62">
        <v>362630</v>
      </c>
      <c r="M85" s="62">
        <v>22193</v>
      </c>
      <c r="N85" s="241">
        <v>6.5189741420585895E-2</v>
      </c>
      <c r="O85" s="62">
        <v>377853</v>
      </c>
      <c r="P85" s="62">
        <f>O85-L85</f>
        <v>15223</v>
      </c>
      <c r="Q85" s="241">
        <f t="shared" ref="Q85:Q101" si="95">P85/L85</f>
        <v>4.197942806717591E-2</v>
      </c>
      <c r="R85" s="62">
        <v>431559</v>
      </c>
      <c r="S85" s="62">
        <f t="shared" ref="S85:S109" si="96">R85-O85</f>
        <v>53706</v>
      </c>
      <c r="T85" s="241">
        <f t="shared" ref="T85:T97" si="97">S85/O85</f>
        <v>0.14213463966145565</v>
      </c>
      <c r="U85" s="62">
        <v>444102</v>
      </c>
      <c r="V85" s="62">
        <f>U85-R85</f>
        <v>12543</v>
      </c>
      <c r="W85" s="241">
        <f>V85/R85</f>
        <v>2.9064392122513955E-2</v>
      </c>
      <c r="X85" s="166">
        <v>483579</v>
      </c>
      <c r="Y85" s="62">
        <f t="shared" ref="Y85:Y109" si="98">X85-U85</f>
        <v>39477</v>
      </c>
      <c r="Z85" s="95">
        <f t="shared" ref="Z85:Z97" si="99">Y85/U85</f>
        <v>8.8891741086507159E-2</v>
      </c>
      <c r="AA85" s="202">
        <v>474920</v>
      </c>
      <c r="AB85" s="583">
        <f t="shared" ref="AB85:AB109" si="100">AA85-X85</f>
        <v>-8659</v>
      </c>
      <c r="AC85" s="584">
        <f t="shared" ref="AC85:AC97" si="101">AB85/X85</f>
        <v>-1.7906071190022726E-2</v>
      </c>
      <c r="AD85" s="78">
        <v>446423</v>
      </c>
      <c r="AE85" s="78">
        <v>32181</v>
      </c>
      <c r="AF85" s="62">
        <v>458516</v>
      </c>
      <c r="AG85" s="62">
        <f t="shared" ref="AG85:AG108" si="102">AF85-AA85</f>
        <v>-16404</v>
      </c>
      <c r="AH85" s="241">
        <f t="shared" ref="AH85:AH108" si="103">AG85/AA85</f>
        <v>-3.4540554198601872E-2</v>
      </c>
      <c r="AI85" s="78">
        <v>446423</v>
      </c>
      <c r="AJ85" s="79">
        <v>478604</v>
      </c>
      <c r="AK85" s="79">
        <v>452401</v>
      </c>
      <c r="AL85" s="136"/>
      <c r="AM85" s="202">
        <f t="shared" ref="AM85:AM108" si="104">+AL85+AK85</f>
        <v>452401</v>
      </c>
      <c r="AN85" s="79">
        <v>413648</v>
      </c>
      <c r="AO85" s="79">
        <v>449518</v>
      </c>
      <c r="AP85" s="591">
        <v>19429</v>
      </c>
      <c r="AQ85" s="591">
        <v>381</v>
      </c>
      <c r="AR85" s="78">
        <f>+AP85+AQ85</f>
        <v>19810</v>
      </c>
      <c r="AS85" s="78">
        <f>BB85+AR85</f>
        <v>462302.49015000003</v>
      </c>
      <c r="AT85" s="78">
        <f>AS85-AF85</f>
        <v>3786.4901500000269</v>
      </c>
      <c r="AU85" s="260">
        <f>AT85/AF85</f>
        <v>8.2581418096642802E-3</v>
      </c>
      <c r="AV85" s="78">
        <f t="shared" ref="AV85:AV109" si="105">+AS85-AF85</f>
        <v>3786.4901500000269</v>
      </c>
      <c r="AW85" s="260">
        <f t="shared" ref="AW85:AW109" si="106">+AV85/AF85</f>
        <v>8.2581418096642802E-3</v>
      </c>
      <c r="AX85" s="78">
        <f>439227+7700</f>
        <v>446927</v>
      </c>
      <c r="AY85" s="62">
        <f t="shared" si="88"/>
        <v>-11589</v>
      </c>
      <c r="AZ85" s="579">
        <f t="shared" si="89"/>
        <v>-2.5275017665686694E-2</v>
      </c>
      <c r="BA85" s="616">
        <f>415115.54284+31861.06093</f>
        <v>446976.60376999999</v>
      </c>
      <c r="BB85" s="616">
        <f>415020.28519+27472.20496</f>
        <v>442492.49015000003</v>
      </c>
      <c r="BC85" s="616">
        <f>BA85-BB85</f>
        <v>4484.1136199999601</v>
      </c>
      <c r="BD85" s="31">
        <f>BC85/BA85</f>
        <v>1.0032099179641499E-2</v>
      </c>
      <c r="BE85" s="78">
        <f>442071+9452</f>
        <v>451523</v>
      </c>
      <c r="BF85" s="62">
        <f t="shared" ref="BF85:BF97" si="107">BE85-AX85</f>
        <v>4596</v>
      </c>
      <c r="BG85" s="579">
        <f t="shared" ref="BG85:BG109" si="108">BF85/AX85</f>
        <v>1.0283558612480337E-2</v>
      </c>
      <c r="BH85" s="78">
        <v>17276</v>
      </c>
      <c r="BI85" s="78"/>
      <c r="BJ85" s="78"/>
      <c r="BK85" s="78">
        <v>486</v>
      </c>
      <c r="BL85" s="487">
        <f t="shared" si="90"/>
        <v>469285</v>
      </c>
      <c r="BM85" s="487">
        <f t="shared" ref="BM85:BM109" si="109">BL85-AS85</f>
        <v>6982.5098499999731</v>
      </c>
      <c r="BN85" s="487">
        <v>471523</v>
      </c>
      <c r="BO85" s="595">
        <v>470926</v>
      </c>
      <c r="BP85" s="39">
        <f t="shared" si="86"/>
        <v>19403</v>
      </c>
      <c r="BQ85" s="579">
        <f t="shared" ref="BQ85:BQ109" si="110">BM85/AS85</f>
        <v>1.5103768633680532E-2</v>
      </c>
      <c r="BR85" s="99">
        <f t="shared" si="87"/>
        <v>4.2972340279454201E-2</v>
      </c>
      <c r="BS85" s="487">
        <v>24639</v>
      </c>
      <c r="BV85">
        <v>618</v>
      </c>
      <c r="BW85" s="280">
        <f t="shared" ref="BW85:BW108" si="111">BN85+BS85+BT85+BU85+BV85</f>
        <v>496780</v>
      </c>
      <c r="BX85" s="39">
        <f t="shared" ref="BX85:BX118" si="112">BW85-BL85</f>
        <v>27495</v>
      </c>
      <c r="BY85" s="51">
        <f t="shared" ref="BY85:BY118" si="113">BX85/BL85</f>
        <v>5.8589130272648816E-2</v>
      </c>
    </row>
    <row r="86" spans="1:77" s="79" customFormat="1" ht="18" customHeight="1">
      <c r="A86" s="59" t="s">
        <v>10</v>
      </c>
      <c r="B86" s="323">
        <f>112749+106</f>
        <v>112855</v>
      </c>
      <c r="C86" s="323">
        <f>129197+19</f>
        <v>129216</v>
      </c>
      <c r="D86" s="323">
        <f t="shared" si="67"/>
        <v>16361</v>
      </c>
      <c r="E86" s="352">
        <f t="shared" si="79"/>
        <v>0.14497363873997607</v>
      </c>
      <c r="F86" s="582">
        <f>129729+2</f>
        <v>129731</v>
      </c>
      <c r="G86" s="582">
        <f t="shared" si="68"/>
        <v>515</v>
      </c>
      <c r="H86" s="274">
        <f t="shared" si="80"/>
        <v>3.9855745418524019E-3</v>
      </c>
      <c r="I86" s="582">
        <v>135693</v>
      </c>
      <c r="J86" s="582">
        <f t="shared" si="69"/>
        <v>5962</v>
      </c>
      <c r="K86" s="274">
        <f t="shared" si="81"/>
        <v>4.5956633341298535E-2</v>
      </c>
      <c r="L86" s="62">
        <v>148503</v>
      </c>
      <c r="M86" s="62">
        <v>12810</v>
      </c>
      <c r="N86" s="241">
        <v>9.4404280250270825E-2</v>
      </c>
      <c r="O86" s="62">
        <v>149226</v>
      </c>
      <c r="P86" s="62">
        <f t="shared" ref="P86:P104" si="114">O86-L86</f>
        <v>723</v>
      </c>
      <c r="Q86" s="241">
        <f t="shared" si="95"/>
        <v>4.8685885133633667E-3</v>
      </c>
      <c r="R86" s="62">
        <v>157228</v>
      </c>
      <c r="S86" s="62">
        <f t="shared" si="96"/>
        <v>8002</v>
      </c>
      <c r="T86" s="241">
        <f t="shared" si="97"/>
        <v>5.3623363220886441E-2</v>
      </c>
      <c r="U86" s="62">
        <v>172775</v>
      </c>
      <c r="V86" s="62">
        <f t="shared" ref="V86:V104" si="115">U86-R86</f>
        <v>15547</v>
      </c>
      <c r="W86" s="241">
        <f t="shared" ref="W86:W104" si="116">V86/R86</f>
        <v>9.8881878545806087E-2</v>
      </c>
      <c r="X86" s="166">
        <v>188601</v>
      </c>
      <c r="Y86" s="62">
        <f t="shared" si="98"/>
        <v>15826</v>
      </c>
      <c r="Z86" s="95">
        <f t="shared" si="99"/>
        <v>9.1598900303863404E-2</v>
      </c>
      <c r="AA86" s="202">
        <v>184289</v>
      </c>
      <c r="AB86" s="583">
        <f t="shared" si="100"/>
        <v>-4312</v>
      </c>
      <c r="AC86" s="584">
        <f t="shared" si="101"/>
        <v>-2.2863081319823331E-2</v>
      </c>
      <c r="AD86" s="78">
        <v>187935</v>
      </c>
      <c r="AE86" s="78">
        <v>1520</v>
      </c>
      <c r="AF86" s="62">
        <v>194830</v>
      </c>
      <c r="AG86" s="62">
        <f t="shared" si="102"/>
        <v>10541</v>
      </c>
      <c r="AH86" s="241">
        <f t="shared" si="103"/>
        <v>5.7198204993244309E-2</v>
      </c>
      <c r="AI86" s="78">
        <v>187935</v>
      </c>
      <c r="AJ86" s="79">
        <v>189455</v>
      </c>
      <c r="AK86" s="79">
        <v>196834</v>
      </c>
      <c r="AL86" s="136"/>
      <c r="AM86" s="202">
        <f t="shared" si="104"/>
        <v>196834</v>
      </c>
      <c r="AN86" s="79">
        <v>192535</v>
      </c>
      <c r="AO86" s="79">
        <v>194055</v>
      </c>
      <c r="AP86" s="591">
        <v>5393</v>
      </c>
      <c r="AQ86" s="591">
        <v>240</v>
      </c>
      <c r="AR86" s="78">
        <f t="shared" ref="AR86:AR108" si="117">+AP86+AQ86</f>
        <v>5633</v>
      </c>
      <c r="AS86" s="78">
        <f t="shared" ref="AS86:AS108" si="118">BB86+AR86</f>
        <v>199071.45843</v>
      </c>
      <c r="AT86" s="78">
        <f t="shared" ref="AT86:AT109" si="119">AS86-AF86</f>
        <v>4241.4584299999988</v>
      </c>
      <c r="AU86" s="260">
        <f t="shared" ref="AU86:AU109" si="120">AT86/AF86</f>
        <v>2.1770047887902266E-2</v>
      </c>
      <c r="AV86" s="78">
        <f t="shared" si="105"/>
        <v>4241.4584299999988</v>
      </c>
      <c r="AW86" s="260">
        <f t="shared" si="106"/>
        <v>2.1770047887902266E-2</v>
      </c>
      <c r="AX86" s="78">
        <v>196615</v>
      </c>
      <c r="AY86" s="62">
        <f t="shared" si="88"/>
        <v>1785</v>
      </c>
      <c r="AZ86" s="579">
        <f t="shared" si="89"/>
        <v>9.1618333932145975E-3</v>
      </c>
      <c r="BA86" s="616">
        <f>192295.3313+1520</f>
        <v>193815.33129999999</v>
      </c>
      <c r="BB86" s="616">
        <f>191932.00926+1506.44917</f>
        <v>193438.45843</v>
      </c>
      <c r="BC86" s="616">
        <f t="shared" ref="BC86:BC108" si="121">BA86-BB86</f>
        <v>376.87286999999196</v>
      </c>
      <c r="BD86" s="31">
        <f t="shared" ref="BD86:BD108" si="122">BC86/BA86</f>
        <v>1.9444946252298461E-3</v>
      </c>
      <c r="BE86" s="78">
        <f>193902+1520-500</f>
        <v>194922</v>
      </c>
      <c r="BF86" s="62">
        <f t="shared" si="107"/>
        <v>-1693</v>
      </c>
      <c r="BG86" s="579">
        <f t="shared" si="108"/>
        <v>-8.6107367189685417E-3</v>
      </c>
      <c r="BH86" s="78">
        <f>5426+500</f>
        <v>5926</v>
      </c>
      <c r="BI86" s="78"/>
      <c r="BJ86" s="78"/>
      <c r="BK86" s="78">
        <v>208</v>
      </c>
      <c r="BL86" s="487">
        <f t="shared" si="90"/>
        <v>201056</v>
      </c>
      <c r="BM86" s="487">
        <f t="shared" si="109"/>
        <v>1984.5415700000012</v>
      </c>
      <c r="BN86" s="487">
        <v>200729</v>
      </c>
      <c r="BO86" s="595">
        <v>199374</v>
      </c>
      <c r="BP86" s="39">
        <f t="shared" si="86"/>
        <v>4452</v>
      </c>
      <c r="BQ86" s="579">
        <f t="shared" si="110"/>
        <v>9.9689909625986419E-3</v>
      </c>
      <c r="BR86" s="99">
        <f t="shared" si="87"/>
        <v>2.2839905192846368E-2</v>
      </c>
      <c r="BS86" s="487">
        <v>7792</v>
      </c>
      <c r="BV86">
        <v>247</v>
      </c>
      <c r="BW86" s="280">
        <f t="shared" si="111"/>
        <v>208768</v>
      </c>
      <c r="BX86" s="39">
        <f t="shared" si="112"/>
        <v>7712</v>
      </c>
      <c r="BY86" s="51">
        <f t="shared" si="113"/>
        <v>3.8357472544962599E-2</v>
      </c>
    </row>
    <row r="87" spans="1:77" ht="18" customHeight="1">
      <c r="A87" s="59" t="s">
        <v>11</v>
      </c>
      <c r="B87" s="323">
        <v>39900</v>
      </c>
      <c r="C87" s="323">
        <v>49000</v>
      </c>
      <c r="D87" s="323">
        <f t="shared" si="67"/>
        <v>9100</v>
      </c>
      <c r="E87" s="352">
        <f t="shared" si="79"/>
        <v>0.22807017543859648</v>
      </c>
      <c r="F87" s="10">
        <v>74600</v>
      </c>
      <c r="G87" s="10">
        <f t="shared" si="68"/>
        <v>25600</v>
      </c>
      <c r="H87" s="14">
        <f t="shared" si="80"/>
        <v>0.52244897959183678</v>
      </c>
      <c r="I87" s="10">
        <v>68900</v>
      </c>
      <c r="J87" s="10">
        <f t="shared" si="69"/>
        <v>-5700</v>
      </c>
      <c r="K87" s="14">
        <f t="shared" si="81"/>
        <v>-7.6407506702412864E-2</v>
      </c>
      <c r="L87" s="52">
        <v>96700</v>
      </c>
      <c r="M87" s="52">
        <v>27800</v>
      </c>
      <c r="N87" s="58">
        <v>0.40348330914368652</v>
      </c>
      <c r="O87" s="52">
        <v>112100</v>
      </c>
      <c r="P87" s="52">
        <f t="shared" si="114"/>
        <v>15400</v>
      </c>
      <c r="Q87" s="58">
        <f t="shared" si="95"/>
        <v>0.1592554291623578</v>
      </c>
      <c r="R87" s="52">
        <v>117500</v>
      </c>
      <c r="S87" s="52">
        <f t="shared" si="96"/>
        <v>5400</v>
      </c>
      <c r="T87" s="58">
        <f t="shared" si="97"/>
        <v>4.8171275646743977E-2</v>
      </c>
      <c r="U87" s="52">
        <v>140100</v>
      </c>
      <c r="V87" s="52">
        <f t="shared" si="115"/>
        <v>22600</v>
      </c>
      <c r="W87" s="58">
        <f t="shared" si="116"/>
        <v>0.19234042553191488</v>
      </c>
      <c r="X87" s="166">
        <v>137000</v>
      </c>
      <c r="Y87" s="52">
        <f t="shared" si="98"/>
        <v>-3100</v>
      </c>
      <c r="Z87" s="95">
        <f t="shared" si="99"/>
        <v>-2.2127052105638829E-2</v>
      </c>
      <c r="AA87" s="202">
        <v>110900</v>
      </c>
      <c r="AB87" s="172">
        <f t="shared" si="100"/>
        <v>-26100</v>
      </c>
      <c r="AC87" s="100">
        <f t="shared" si="101"/>
        <v>-0.1905109489051095</v>
      </c>
      <c r="AD87" s="65">
        <v>132975</v>
      </c>
      <c r="AE87" s="65"/>
      <c r="AF87" s="52">
        <v>132300</v>
      </c>
      <c r="AG87" s="52">
        <f t="shared" si="102"/>
        <v>21400</v>
      </c>
      <c r="AH87" s="58">
        <f t="shared" si="103"/>
        <v>0.19296663660955815</v>
      </c>
      <c r="AI87" s="65">
        <v>132975</v>
      </c>
      <c r="AJ87" s="50">
        <v>132975</v>
      </c>
      <c r="AK87" s="50">
        <v>127200</v>
      </c>
      <c r="AL87" s="136">
        <v>375</v>
      </c>
      <c r="AM87" s="256">
        <f t="shared" si="104"/>
        <v>127575</v>
      </c>
      <c r="AN87" s="50">
        <v>127200</v>
      </c>
      <c r="AO87" s="50">
        <v>127200</v>
      </c>
      <c r="AP87" s="261">
        <v>0</v>
      </c>
      <c r="AQ87" s="261">
        <v>0</v>
      </c>
      <c r="AR87" s="65">
        <f t="shared" si="117"/>
        <v>0</v>
      </c>
      <c r="AS87" s="78">
        <f t="shared" si="118"/>
        <v>127200</v>
      </c>
      <c r="AT87" s="65">
        <f t="shared" si="119"/>
        <v>-5100</v>
      </c>
      <c r="AU87" s="99">
        <f t="shared" si="120"/>
        <v>-3.8548752834467119E-2</v>
      </c>
      <c r="AV87" s="65">
        <f t="shared" si="105"/>
        <v>-5100</v>
      </c>
      <c r="AW87" s="99">
        <f t="shared" si="106"/>
        <v>-3.8548752834467119E-2</v>
      </c>
      <c r="AX87" s="65">
        <v>127200</v>
      </c>
      <c r="AY87" s="52">
        <f t="shared" si="88"/>
        <v>-5100</v>
      </c>
      <c r="AZ87" s="51">
        <f t="shared" si="89"/>
        <v>-3.8548752834467119E-2</v>
      </c>
      <c r="BA87" s="616">
        <v>127200</v>
      </c>
      <c r="BB87" s="616">
        <v>127200</v>
      </c>
      <c r="BC87" s="616">
        <f t="shared" si="121"/>
        <v>0</v>
      </c>
      <c r="BD87" s="31">
        <f t="shared" si="122"/>
        <v>0</v>
      </c>
      <c r="BE87" s="65">
        <v>116700</v>
      </c>
      <c r="BF87" s="52">
        <f t="shared" si="107"/>
        <v>-10500</v>
      </c>
      <c r="BG87" s="51">
        <f t="shared" si="108"/>
        <v>-8.254716981132075E-2</v>
      </c>
      <c r="BH87" s="65"/>
      <c r="BI87" s="65"/>
      <c r="BJ87" s="65"/>
      <c r="BK87" s="65"/>
      <c r="BL87" s="39">
        <f t="shared" si="90"/>
        <v>116700</v>
      </c>
      <c r="BM87" s="39">
        <f t="shared" si="109"/>
        <v>-10500</v>
      </c>
      <c r="BN87" s="39">
        <v>96314</v>
      </c>
      <c r="BO87" s="534">
        <v>96314</v>
      </c>
      <c r="BP87" s="39">
        <f t="shared" si="86"/>
        <v>-20386</v>
      </c>
      <c r="BQ87" s="51">
        <f t="shared" si="110"/>
        <v>-8.254716981132075E-2</v>
      </c>
      <c r="BR87" s="99">
        <f t="shared" si="87"/>
        <v>-0.17468723221936588</v>
      </c>
      <c r="BV87"/>
      <c r="BW87" s="280">
        <f t="shared" si="111"/>
        <v>96314</v>
      </c>
      <c r="BX87" s="39">
        <f t="shared" si="112"/>
        <v>-20386</v>
      </c>
      <c r="BY87" s="51">
        <f t="shared" si="113"/>
        <v>-0.17468723221936588</v>
      </c>
    </row>
    <row r="88" spans="1:77" s="79" customFormat="1" ht="18" customHeight="1">
      <c r="A88" s="59" t="s">
        <v>12</v>
      </c>
      <c r="B88" s="323">
        <f>70484+176561</f>
        <v>247045</v>
      </c>
      <c r="C88" s="323">
        <f>80325+131433</f>
        <v>211758</v>
      </c>
      <c r="D88" s="323">
        <f t="shared" si="67"/>
        <v>-35287</v>
      </c>
      <c r="E88" s="352">
        <f t="shared" si="79"/>
        <v>-0.14283632536582405</v>
      </c>
      <c r="F88" s="582">
        <f>97679-64</f>
        <v>97615</v>
      </c>
      <c r="G88" s="582">
        <f t="shared" si="68"/>
        <v>-114143</v>
      </c>
      <c r="H88" s="274">
        <f t="shared" si="80"/>
        <v>-0.53902568025765263</v>
      </c>
      <c r="I88" s="582">
        <v>102336</v>
      </c>
      <c r="J88" s="582">
        <f t="shared" si="69"/>
        <v>4721</v>
      </c>
      <c r="K88" s="274">
        <f t="shared" si="81"/>
        <v>4.8363468729191207E-2</v>
      </c>
      <c r="L88" s="62">
        <v>117539</v>
      </c>
      <c r="M88" s="62">
        <v>15203</v>
      </c>
      <c r="N88" s="241">
        <v>0.14855964665415886</v>
      </c>
      <c r="O88" s="62">
        <v>123376</v>
      </c>
      <c r="P88" s="62">
        <f t="shared" si="114"/>
        <v>5837</v>
      </c>
      <c r="Q88" s="241">
        <f t="shared" si="95"/>
        <v>4.966011281361931E-2</v>
      </c>
      <c r="R88" s="62">
        <v>135207</v>
      </c>
      <c r="S88" s="62">
        <f t="shared" si="96"/>
        <v>11831</v>
      </c>
      <c r="T88" s="241">
        <f t="shared" si="97"/>
        <v>9.5893852937362203E-2</v>
      </c>
      <c r="U88" s="62">
        <v>147131</v>
      </c>
      <c r="V88" s="62">
        <f t="shared" si="115"/>
        <v>11924</v>
      </c>
      <c r="W88" s="241">
        <f t="shared" si="116"/>
        <v>8.8190700185641277E-2</v>
      </c>
      <c r="X88" s="166">
        <v>152744</v>
      </c>
      <c r="Y88" s="62">
        <f t="shared" si="98"/>
        <v>5613</v>
      </c>
      <c r="Z88" s="95">
        <f t="shared" si="99"/>
        <v>3.8149676138951004E-2</v>
      </c>
      <c r="AA88" s="202">
        <v>149276</v>
      </c>
      <c r="AB88" s="583">
        <f t="shared" si="100"/>
        <v>-3468</v>
      </c>
      <c r="AC88" s="584">
        <f t="shared" si="101"/>
        <v>-2.2704656156706648E-2</v>
      </c>
      <c r="AD88" s="78">
        <v>103887</v>
      </c>
      <c r="AE88" s="78">
        <v>34824</v>
      </c>
      <c r="AF88" s="62">
        <v>150579</v>
      </c>
      <c r="AG88" s="62">
        <f t="shared" si="102"/>
        <v>1303</v>
      </c>
      <c r="AH88" s="241">
        <f t="shared" si="103"/>
        <v>8.7287976633886218E-3</v>
      </c>
      <c r="AI88" s="78">
        <v>103887</v>
      </c>
      <c r="AJ88" s="79">
        <v>138711</v>
      </c>
      <c r="AK88" s="245">
        <v>116451</v>
      </c>
      <c r="AL88" s="136">
        <v>4900</v>
      </c>
      <c r="AM88" s="202">
        <f t="shared" si="104"/>
        <v>121351</v>
      </c>
      <c r="AN88" s="597">
        <v>100083</v>
      </c>
      <c r="AO88" s="79">
        <v>125628</v>
      </c>
      <c r="AP88" s="591">
        <v>2811</v>
      </c>
      <c r="AQ88" s="591">
        <v>471</v>
      </c>
      <c r="AR88" s="78">
        <f t="shared" si="117"/>
        <v>3282</v>
      </c>
      <c r="AS88" s="78">
        <f t="shared" si="118"/>
        <v>145604.72744000002</v>
      </c>
      <c r="AT88" s="78">
        <f t="shared" si="119"/>
        <v>-4974.2725599999831</v>
      </c>
      <c r="AU88" s="260">
        <f t="shared" si="120"/>
        <v>-3.3034304650714795E-2</v>
      </c>
      <c r="AV88" s="78">
        <f t="shared" si="105"/>
        <v>-4974.2725599999831</v>
      </c>
      <c r="AW88" s="260">
        <f t="shared" si="106"/>
        <v>-3.3034304650714795E-2</v>
      </c>
      <c r="AX88" s="78">
        <f>134075+6300</f>
        <v>140375</v>
      </c>
      <c r="AY88" s="62">
        <f t="shared" si="88"/>
        <v>-10204</v>
      </c>
      <c r="AZ88" s="579">
        <f t="shared" si="89"/>
        <v>-6.7765093406119054E-2</v>
      </c>
      <c r="BA88" s="616">
        <f>119026.27025+25540.62025</f>
        <v>144566.89050000001</v>
      </c>
      <c r="BB88" s="616">
        <f>117369.46937+24953.25807</f>
        <v>142322.72744000002</v>
      </c>
      <c r="BC88" s="616">
        <f t="shared" si="121"/>
        <v>2244.1630599999917</v>
      </c>
      <c r="BD88" s="31">
        <f t="shared" si="122"/>
        <v>1.5523354291140346E-2</v>
      </c>
      <c r="BE88" s="78">
        <f>115294+20297</f>
        <v>135591</v>
      </c>
      <c r="BF88" s="62">
        <f t="shared" si="107"/>
        <v>-4784</v>
      </c>
      <c r="BG88" s="579">
        <f t="shared" si="108"/>
        <v>-3.4080142475512019E-2</v>
      </c>
      <c r="BH88" s="78">
        <v>3951</v>
      </c>
      <c r="BI88" s="78"/>
      <c r="BJ88" s="78"/>
      <c r="BK88" s="78">
        <v>19</v>
      </c>
      <c r="BL88" s="487">
        <f t="shared" si="90"/>
        <v>139561</v>
      </c>
      <c r="BM88" s="487">
        <f t="shared" si="109"/>
        <v>-6043.7274400000169</v>
      </c>
      <c r="BN88" s="487">
        <v>141085</v>
      </c>
      <c r="BO88" s="595">
        <v>139289</v>
      </c>
      <c r="BP88" s="39">
        <f t="shared" si="86"/>
        <v>3698</v>
      </c>
      <c r="BQ88" s="579">
        <f t="shared" si="110"/>
        <v>-4.1507769330432508E-2</v>
      </c>
      <c r="BR88" s="99">
        <f t="shared" si="87"/>
        <v>2.7273196598594302E-2</v>
      </c>
      <c r="BS88" s="487">
        <v>3968</v>
      </c>
      <c r="BV88">
        <v>39</v>
      </c>
      <c r="BW88" s="280">
        <f t="shared" si="111"/>
        <v>145092</v>
      </c>
      <c r="BX88" s="39">
        <f t="shared" si="112"/>
        <v>5531</v>
      </c>
      <c r="BY88" s="51">
        <f t="shared" si="113"/>
        <v>3.9631415653370208E-2</v>
      </c>
    </row>
    <row r="89" spans="1:77" ht="18" customHeight="1">
      <c r="A89" s="57" t="s">
        <v>13</v>
      </c>
      <c r="B89" s="322">
        <f>1740+164</f>
        <v>1904</v>
      </c>
      <c r="C89" s="322">
        <f>1704+340</f>
        <v>2044</v>
      </c>
      <c r="D89" s="323">
        <f t="shared" si="67"/>
        <v>140</v>
      </c>
      <c r="E89" s="352">
        <f t="shared" si="79"/>
        <v>7.3529411764705885E-2</v>
      </c>
      <c r="F89" s="10">
        <v>1894</v>
      </c>
      <c r="G89" s="10">
        <f t="shared" si="68"/>
        <v>-150</v>
      </c>
      <c r="H89" s="14">
        <f t="shared" si="80"/>
        <v>-7.3385518590998039E-2</v>
      </c>
      <c r="I89" s="10">
        <v>1396</v>
      </c>
      <c r="J89" s="10">
        <f t="shared" si="69"/>
        <v>-498</v>
      </c>
      <c r="K89" s="14">
        <f t="shared" si="81"/>
        <v>-0.26293558606124606</v>
      </c>
      <c r="L89" s="52">
        <v>1934</v>
      </c>
      <c r="M89" s="52">
        <v>538</v>
      </c>
      <c r="N89" s="58">
        <v>0.38538681948424069</v>
      </c>
      <c r="O89" s="52">
        <v>2094</v>
      </c>
      <c r="P89" s="52">
        <f t="shared" si="114"/>
        <v>160</v>
      </c>
      <c r="Q89" s="58">
        <f t="shared" si="95"/>
        <v>8.2730093071354704E-2</v>
      </c>
      <c r="R89" s="52">
        <v>2329</v>
      </c>
      <c r="S89" s="52">
        <f t="shared" si="96"/>
        <v>235</v>
      </c>
      <c r="T89" s="58">
        <f t="shared" si="97"/>
        <v>0.112225405921681</v>
      </c>
      <c r="U89" s="52">
        <v>2846</v>
      </c>
      <c r="V89" s="52">
        <f t="shared" si="115"/>
        <v>517</v>
      </c>
      <c r="W89" s="58">
        <f t="shared" si="116"/>
        <v>0.22198368398454271</v>
      </c>
      <c r="X89" s="166">
        <v>2828</v>
      </c>
      <c r="Y89" s="52">
        <f t="shared" si="98"/>
        <v>-18</v>
      </c>
      <c r="Z89" s="95">
        <f t="shared" si="99"/>
        <v>-6.3246661981728744E-3</v>
      </c>
      <c r="AA89" s="202">
        <v>3371</v>
      </c>
      <c r="AB89" s="172">
        <f t="shared" si="100"/>
        <v>543</v>
      </c>
      <c r="AC89" s="100">
        <f t="shared" si="101"/>
        <v>0.192008486562942</v>
      </c>
      <c r="AD89" s="65">
        <v>3365</v>
      </c>
      <c r="AE89" s="65"/>
      <c r="AF89" s="52">
        <v>3317</v>
      </c>
      <c r="AG89" s="52">
        <f t="shared" si="102"/>
        <v>-54</v>
      </c>
      <c r="AH89" s="58">
        <f t="shared" si="103"/>
        <v>-1.601898546425393E-2</v>
      </c>
      <c r="AI89" s="65">
        <v>3365</v>
      </c>
      <c r="AJ89" s="50">
        <v>3365</v>
      </c>
      <c r="AK89" s="245">
        <v>3574</v>
      </c>
      <c r="AL89" s="136"/>
      <c r="AM89" s="256">
        <f t="shared" si="104"/>
        <v>3574</v>
      </c>
      <c r="AN89" s="257">
        <v>1127</v>
      </c>
      <c r="AO89" s="50">
        <v>1127</v>
      </c>
      <c r="AP89" s="261">
        <v>0</v>
      </c>
      <c r="AQ89" s="261">
        <v>0</v>
      </c>
      <c r="AR89" s="65">
        <f t="shared" si="117"/>
        <v>0</v>
      </c>
      <c r="AS89" s="78">
        <f t="shared" si="118"/>
        <v>2204.48596</v>
      </c>
      <c r="AT89" s="65">
        <f t="shared" si="119"/>
        <v>-1112.51404</v>
      </c>
      <c r="AU89" s="99">
        <f t="shared" si="120"/>
        <v>-0.3353976605366295</v>
      </c>
      <c r="AV89" s="65">
        <f t="shared" si="105"/>
        <v>-1112.51404</v>
      </c>
      <c r="AW89" s="99">
        <f t="shared" si="106"/>
        <v>-0.3353976605366295</v>
      </c>
      <c r="AX89" s="65">
        <v>2278</v>
      </c>
      <c r="AY89" s="52">
        <f t="shared" si="88"/>
        <v>-1039</v>
      </c>
      <c r="AZ89" s="51">
        <f t="shared" si="89"/>
        <v>-0.31323485076876695</v>
      </c>
      <c r="BA89" s="616">
        <v>2278.0568800000001</v>
      </c>
      <c r="BB89" s="616">
        <v>2204.48596</v>
      </c>
      <c r="BC89" s="616">
        <f t="shared" si="121"/>
        <v>73.570920000000115</v>
      </c>
      <c r="BD89" s="31">
        <f t="shared" si="122"/>
        <v>3.2295471041969816E-2</v>
      </c>
      <c r="BE89" s="65">
        <v>2270</v>
      </c>
      <c r="BF89" s="52">
        <f t="shared" si="107"/>
        <v>-8</v>
      </c>
      <c r="BG89" s="51">
        <f t="shared" si="108"/>
        <v>-3.5118525021949078E-3</v>
      </c>
      <c r="BH89" s="65"/>
      <c r="BI89" s="65"/>
      <c r="BJ89" s="65"/>
      <c r="BK89" s="65">
        <v>8</v>
      </c>
      <c r="BL89" s="39">
        <f t="shared" si="90"/>
        <v>2278</v>
      </c>
      <c r="BM89" s="39">
        <f t="shared" si="109"/>
        <v>73.514040000000023</v>
      </c>
      <c r="BN89" s="39">
        <v>2346</v>
      </c>
      <c r="BO89" s="534">
        <v>2796</v>
      </c>
      <c r="BP89" s="39">
        <f t="shared" si="86"/>
        <v>526</v>
      </c>
      <c r="BQ89" s="51">
        <f t="shared" si="110"/>
        <v>3.3347474800882841E-2</v>
      </c>
      <c r="BR89" s="99">
        <f t="shared" si="87"/>
        <v>0.23171806167400882</v>
      </c>
      <c r="BS89" s="39">
        <v>1834</v>
      </c>
      <c r="BV89">
        <v>7</v>
      </c>
      <c r="BW89" s="280">
        <f t="shared" si="111"/>
        <v>4187</v>
      </c>
      <c r="BX89" s="39">
        <f t="shared" si="112"/>
        <v>1909</v>
      </c>
      <c r="BY89" s="51">
        <f t="shared" si="113"/>
        <v>0.83801580333625991</v>
      </c>
    </row>
    <row r="90" spans="1:77" s="79" customFormat="1" ht="18" customHeight="1">
      <c r="A90" s="59" t="s">
        <v>141</v>
      </c>
      <c r="B90" s="587" t="s">
        <v>78</v>
      </c>
      <c r="C90" s="587" t="s">
        <v>78</v>
      </c>
      <c r="D90" s="587" t="s">
        <v>78</v>
      </c>
      <c r="E90" s="587" t="s">
        <v>78</v>
      </c>
      <c r="F90" s="587" t="s">
        <v>78</v>
      </c>
      <c r="G90" s="587" t="s">
        <v>78</v>
      </c>
      <c r="H90" s="587" t="s">
        <v>78</v>
      </c>
      <c r="I90" s="587" t="s">
        <v>78</v>
      </c>
      <c r="J90" s="587" t="s">
        <v>78</v>
      </c>
      <c r="K90" s="587" t="s">
        <v>78</v>
      </c>
      <c r="L90" s="62">
        <v>5459</v>
      </c>
      <c r="M90" s="62">
        <v>2249</v>
      </c>
      <c r="N90" s="241">
        <v>0.70062305295950156</v>
      </c>
      <c r="O90" s="62">
        <v>3007</v>
      </c>
      <c r="P90" s="62">
        <f t="shared" si="114"/>
        <v>-2452</v>
      </c>
      <c r="Q90" s="241">
        <f t="shared" si="95"/>
        <v>-0.44916651401355562</v>
      </c>
      <c r="R90" s="62">
        <v>4377</v>
      </c>
      <c r="S90" s="62">
        <f t="shared" si="96"/>
        <v>1370</v>
      </c>
      <c r="T90" s="241">
        <f t="shared" si="97"/>
        <v>0.45560359161955438</v>
      </c>
      <c r="U90" s="62">
        <v>4739</v>
      </c>
      <c r="V90" s="62">
        <f t="shared" si="115"/>
        <v>362</v>
      </c>
      <c r="W90" s="241">
        <f t="shared" si="116"/>
        <v>8.2705049120402108E-2</v>
      </c>
      <c r="X90" s="166">
        <v>4639</v>
      </c>
      <c r="Y90" s="62">
        <f t="shared" si="98"/>
        <v>-100</v>
      </c>
      <c r="Z90" s="95">
        <f t="shared" si="99"/>
        <v>-2.1101498206372651E-2</v>
      </c>
      <c r="AA90" s="202">
        <v>4462</v>
      </c>
      <c r="AB90" s="583">
        <f t="shared" si="100"/>
        <v>-177</v>
      </c>
      <c r="AC90" s="584">
        <f t="shared" si="101"/>
        <v>-3.8154774735934469E-2</v>
      </c>
      <c r="AD90" s="78">
        <v>3277</v>
      </c>
      <c r="AE90" s="78"/>
      <c r="AF90" s="62">
        <v>3561</v>
      </c>
      <c r="AG90" s="62">
        <f t="shared" si="102"/>
        <v>-901</v>
      </c>
      <c r="AH90" s="241">
        <f t="shared" si="103"/>
        <v>-0.20192738682205288</v>
      </c>
      <c r="AI90" s="78">
        <f>3277-128</f>
        <v>3149</v>
      </c>
      <c r="AJ90" s="79">
        <f>3277-128</f>
        <v>3149</v>
      </c>
      <c r="AK90" s="245">
        <v>4029</v>
      </c>
      <c r="AL90" s="136"/>
      <c r="AM90" s="202">
        <f t="shared" si="104"/>
        <v>4029</v>
      </c>
      <c r="AN90" s="597">
        <v>2043</v>
      </c>
      <c r="AO90" s="79">
        <v>2043</v>
      </c>
      <c r="AP90" s="591">
        <v>1423</v>
      </c>
      <c r="AQ90" s="591">
        <v>57</v>
      </c>
      <c r="AR90" s="78">
        <f t="shared" si="117"/>
        <v>1480</v>
      </c>
      <c r="AS90" s="78">
        <f t="shared" si="118"/>
        <v>3318.75083</v>
      </c>
      <c r="AT90" s="78">
        <f t="shared" si="119"/>
        <v>-242.24917000000005</v>
      </c>
      <c r="AU90" s="260">
        <f t="shared" si="120"/>
        <v>-6.8028410558831798E-2</v>
      </c>
      <c r="AV90" s="537">
        <f t="shared" si="105"/>
        <v>-242.24917000000005</v>
      </c>
      <c r="AW90" s="260">
        <f t="shared" si="106"/>
        <v>-6.8028410558831798E-2</v>
      </c>
      <c r="AX90" s="78">
        <v>1932</v>
      </c>
      <c r="AY90" s="62">
        <f t="shared" si="88"/>
        <v>-1629</v>
      </c>
      <c r="AZ90" s="579">
        <f t="shared" si="89"/>
        <v>-0.45745577085088457</v>
      </c>
      <c r="BA90" s="616">
        <v>1932.16346</v>
      </c>
      <c r="BB90" s="616">
        <v>1838.75083</v>
      </c>
      <c r="BC90" s="616">
        <f t="shared" si="121"/>
        <v>93.412630000000036</v>
      </c>
      <c r="BD90" s="31">
        <f t="shared" si="122"/>
        <v>4.8346132164201076E-2</v>
      </c>
      <c r="BE90" s="78">
        <v>1829</v>
      </c>
      <c r="BF90" s="62">
        <f t="shared" si="107"/>
        <v>-103</v>
      </c>
      <c r="BG90" s="579">
        <f t="shared" si="108"/>
        <v>-5.331262939958592E-2</v>
      </c>
      <c r="BH90" s="78">
        <v>1394</v>
      </c>
      <c r="BI90" s="78"/>
      <c r="BJ90" s="78"/>
      <c r="BK90" s="78"/>
      <c r="BL90" s="487">
        <f t="shared" si="90"/>
        <v>3223</v>
      </c>
      <c r="BM90" s="487">
        <f t="shared" si="109"/>
        <v>-95.750829999999951</v>
      </c>
      <c r="BN90" s="487">
        <v>2007</v>
      </c>
      <c r="BO90" s="595">
        <v>2007</v>
      </c>
      <c r="BP90" s="39">
        <f t="shared" si="86"/>
        <v>178</v>
      </c>
      <c r="BQ90" s="579">
        <f t="shared" si="110"/>
        <v>-2.885146698403988E-2</v>
      </c>
      <c r="BR90" s="99">
        <f t="shared" si="87"/>
        <v>9.7320940404592673E-2</v>
      </c>
      <c r="BS90" s="487">
        <v>1316</v>
      </c>
      <c r="BV90">
        <v>51</v>
      </c>
      <c r="BW90" s="280">
        <f t="shared" si="111"/>
        <v>3374</v>
      </c>
      <c r="BX90" s="39">
        <f t="shared" si="112"/>
        <v>151</v>
      </c>
      <c r="BY90" s="51">
        <f t="shared" si="113"/>
        <v>4.6850760161340363E-2</v>
      </c>
    </row>
    <row r="91" spans="1:77" ht="18" customHeight="1">
      <c r="A91" s="312" t="s">
        <v>370</v>
      </c>
      <c r="B91" s="322">
        <v>2082</v>
      </c>
      <c r="C91" s="322">
        <v>3463</v>
      </c>
      <c r="D91" s="323">
        <f t="shared" si="67"/>
        <v>1381</v>
      </c>
      <c r="E91" s="352">
        <f t="shared" si="79"/>
        <v>0.66330451488952935</v>
      </c>
      <c r="F91" s="10">
        <v>2848</v>
      </c>
      <c r="G91" s="10">
        <f t="shared" si="68"/>
        <v>-615</v>
      </c>
      <c r="H91" s="14">
        <f t="shared" si="80"/>
        <v>-0.17759168351140631</v>
      </c>
      <c r="I91" s="10">
        <v>3210</v>
      </c>
      <c r="J91" s="10">
        <f t="shared" si="69"/>
        <v>362</v>
      </c>
      <c r="K91" s="14">
        <f t="shared" si="81"/>
        <v>0.1271067415730337</v>
      </c>
      <c r="L91" s="52"/>
      <c r="M91" s="52"/>
      <c r="N91" s="58"/>
      <c r="O91" s="52"/>
      <c r="P91" s="52"/>
      <c r="Q91" s="58"/>
      <c r="R91" s="52"/>
      <c r="S91" s="52"/>
      <c r="T91" s="58"/>
      <c r="U91" s="52"/>
      <c r="V91" s="52"/>
      <c r="W91" s="58"/>
      <c r="Y91" s="52"/>
      <c r="AB91" s="172"/>
      <c r="AD91" s="65"/>
      <c r="AE91" s="65"/>
      <c r="AH91" s="58"/>
      <c r="AI91" s="65"/>
      <c r="AK91" s="245"/>
      <c r="AL91" s="136"/>
      <c r="AM91" s="256"/>
      <c r="AN91" s="257"/>
      <c r="AP91" s="261"/>
      <c r="AQ91" s="261"/>
      <c r="AR91" s="65">
        <f t="shared" si="117"/>
        <v>0</v>
      </c>
      <c r="AS91" s="78">
        <f t="shared" si="118"/>
        <v>0</v>
      </c>
      <c r="AT91" s="65">
        <f t="shared" si="119"/>
        <v>0</v>
      </c>
      <c r="AU91" s="99" t="e">
        <f t="shared" si="120"/>
        <v>#DIV/0!</v>
      </c>
      <c r="AV91" s="219"/>
      <c r="AW91" s="99"/>
      <c r="AX91" s="65"/>
      <c r="AY91" s="52">
        <f t="shared" si="88"/>
        <v>0</v>
      </c>
      <c r="AZ91" s="51" t="e">
        <f t="shared" si="89"/>
        <v>#DIV/0!</v>
      </c>
      <c r="BA91" s="51"/>
      <c r="BB91" s="51"/>
      <c r="BC91" s="616">
        <f t="shared" si="121"/>
        <v>0</v>
      </c>
      <c r="BD91" s="31"/>
      <c r="BE91" s="65"/>
      <c r="BF91" s="52">
        <f t="shared" si="107"/>
        <v>0</v>
      </c>
      <c r="BG91" s="51" t="e">
        <f t="shared" si="108"/>
        <v>#DIV/0!</v>
      </c>
      <c r="BH91" s="65"/>
      <c r="BI91" s="65"/>
      <c r="BJ91" s="65"/>
      <c r="BK91" s="65"/>
      <c r="BL91" s="39">
        <f t="shared" si="90"/>
        <v>0</v>
      </c>
      <c r="BM91" s="39">
        <f t="shared" si="109"/>
        <v>0</v>
      </c>
      <c r="BN91" s="39"/>
      <c r="BO91" s="534"/>
      <c r="BP91" s="39">
        <f t="shared" si="86"/>
        <v>0</v>
      </c>
      <c r="BQ91" s="51" t="e">
        <f t="shared" si="110"/>
        <v>#DIV/0!</v>
      </c>
      <c r="BR91" s="99" t="e">
        <f t="shared" si="87"/>
        <v>#DIV/0!</v>
      </c>
      <c r="BV91"/>
      <c r="BW91" s="280">
        <f t="shared" si="111"/>
        <v>0</v>
      </c>
      <c r="BX91" s="39">
        <f t="shared" si="112"/>
        <v>0</v>
      </c>
      <c r="BY91" s="51" t="e">
        <f t="shared" si="113"/>
        <v>#DIV/0!</v>
      </c>
    </row>
    <row r="92" spans="1:77" ht="18" customHeight="1">
      <c r="A92" s="57" t="s">
        <v>14</v>
      </c>
      <c r="B92" s="322">
        <v>147</v>
      </c>
      <c r="C92" s="322">
        <v>165</v>
      </c>
      <c r="D92" s="323">
        <f t="shared" si="67"/>
        <v>18</v>
      </c>
      <c r="E92" s="352">
        <f t="shared" si="79"/>
        <v>0.12244897959183673</v>
      </c>
      <c r="F92" s="10">
        <v>182</v>
      </c>
      <c r="G92" s="10">
        <f t="shared" si="68"/>
        <v>17</v>
      </c>
      <c r="H92" s="14">
        <f t="shared" si="80"/>
        <v>0.10303030303030303</v>
      </c>
      <c r="I92" s="10">
        <v>181</v>
      </c>
      <c r="J92" s="10">
        <f t="shared" si="69"/>
        <v>-1</v>
      </c>
      <c r="K92" s="14">
        <f t="shared" si="81"/>
        <v>-5.4945054945054949E-3</v>
      </c>
      <c r="L92" s="52">
        <v>177</v>
      </c>
      <c r="M92" s="52">
        <v>-4</v>
      </c>
      <c r="N92" s="58">
        <v>-2.2099447513812154E-2</v>
      </c>
      <c r="O92" s="52">
        <v>204</v>
      </c>
      <c r="P92" s="52">
        <f t="shared" si="114"/>
        <v>27</v>
      </c>
      <c r="Q92" s="58">
        <f t="shared" si="95"/>
        <v>0.15254237288135594</v>
      </c>
      <c r="R92" s="52">
        <v>227</v>
      </c>
      <c r="S92" s="52">
        <f t="shared" si="96"/>
        <v>23</v>
      </c>
      <c r="T92" s="58">
        <f t="shared" si="97"/>
        <v>0.11274509803921569</v>
      </c>
      <c r="U92" s="52">
        <v>238</v>
      </c>
      <c r="V92" s="52">
        <f t="shared" si="115"/>
        <v>11</v>
      </c>
      <c r="W92" s="58">
        <f t="shared" si="116"/>
        <v>4.8458149779735685E-2</v>
      </c>
      <c r="X92" s="166">
        <v>249</v>
      </c>
      <c r="Y92" s="52">
        <f t="shared" si="98"/>
        <v>11</v>
      </c>
      <c r="Z92" s="95">
        <f t="shared" si="99"/>
        <v>4.6218487394957986E-2</v>
      </c>
      <c r="AA92" s="202">
        <v>271</v>
      </c>
      <c r="AB92" s="172">
        <f t="shared" si="100"/>
        <v>22</v>
      </c>
      <c r="AC92" s="100">
        <f t="shared" si="101"/>
        <v>8.8353413654618476E-2</v>
      </c>
      <c r="AD92" s="219">
        <v>0</v>
      </c>
      <c r="AE92" s="219"/>
      <c r="AF92" s="52">
        <v>0</v>
      </c>
      <c r="AG92" s="52">
        <f t="shared" si="102"/>
        <v>-271</v>
      </c>
      <c r="AH92" s="58">
        <f t="shared" si="103"/>
        <v>-1</v>
      </c>
      <c r="AI92" s="65">
        <v>0</v>
      </c>
      <c r="AJ92" s="50">
        <v>0</v>
      </c>
      <c r="AL92" s="136"/>
      <c r="AM92" s="256">
        <f t="shared" si="104"/>
        <v>0</v>
      </c>
      <c r="AN92" s="257">
        <v>0</v>
      </c>
      <c r="AO92" s="50">
        <v>0</v>
      </c>
      <c r="AP92" s="261">
        <v>0</v>
      </c>
      <c r="AQ92" s="261">
        <v>0</v>
      </c>
      <c r="AR92" s="65">
        <f t="shared" si="117"/>
        <v>0</v>
      </c>
      <c r="AS92" s="78">
        <f t="shared" si="118"/>
        <v>0</v>
      </c>
      <c r="AT92" s="65">
        <f t="shared" si="119"/>
        <v>0</v>
      </c>
      <c r="AU92" s="99" t="e">
        <f t="shared" si="120"/>
        <v>#DIV/0!</v>
      </c>
      <c r="AV92" s="219">
        <f t="shared" si="105"/>
        <v>0</v>
      </c>
      <c r="AW92" s="99" t="e">
        <f t="shared" si="106"/>
        <v>#DIV/0!</v>
      </c>
      <c r="AX92" s="65">
        <v>0</v>
      </c>
      <c r="AY92" s="52">
        <f t="shared" si="88"/>
        <v>0</v>
      </c>
      <c r="AZ92" s="51" t="e">
        <f t="shared" si="89"/>
        <v>#DIV/0!</v>
      </c>
      <c r="BA92" s="616">
        <v>0</v>
      </c>
      <c r="BB92" s="616">
        <v>0</v>
      </c>
      <c r="BC92" s="616">
        <f t="shared" si="121"/>
        <v>0</v>
      </c>
      <c r="BD92" s="31"/>
      <c r="BE92" s="65">
        <v>0</v>
      </c>
      <c r="BF92" s="52">
        <f t="shared" si="107"/>
        <v>0</v>
      </c>
      <c r="BG92" s="51" t="e">
        <f t="shared" si="108"/>
        <v>#DIV/0!</v>
      </c>
      <c r="BH92" s="65"/>
      <c r="BI92" s="65"/>
      <c r="BJ92" s="65"/>
      <c r="BK92" s="65"/>
      <c r="BL92" s="39">
        <f t="shared" si="90"/>
        <v>0</v>
      </c>
      <c r="BM92" s="39">
        <f t="shared" si="109"/>
        <v>0</v>
      </c>
      <c r="BN92" s="39">
        <v>0</v>
      </c>
      <c r="BO92" s="534"/>
      <c r="BP92" s="39">
        <f t="shared" si="86"/>
        <v>0</v>
      </c>
      <c r="BQ92" s="51" t="e">
        <f t="shared" si="110"/>
        <v>#DIV/0!</v>
      </c>
      <c r="BR92" s="99" t="e">
        <f t="shared" si="87"/>
        <v>#DIV/0!</v>
      </c>
      <c r="BV92"/>
      <c r="BW92" s="280">
        <f t="shared" si="111"/>
        <v>0</v>
      </c>
      <c r="BX92" s="39">
        <f t="shared" si="112"/>
        <v>0</v>
      </c>
      <c r="BY92" s="51" t="e">
        <f t="shared" si="113"/>
        <v>#DIV/0!</v>
      </c>
    </row>
    <row r="93" spans="1:77" ht="18" customHeight="1">
      <c r="A93" s="57" t="s">
        <v>15</v>
      </c>
      <c r="B93" s="322">
        <v>83</v>
      </c>
      <c r="C93" s="322">
        <v>84</v>
      </c>
      <c r="D93" s="323">
        <f t="shared" si="67"/>
        <v>1</v>
      </c>
      <c r="E93" s="352">
        <f t="shared" si="79"/>
        <v>1.2048192771084338E-2</v>
      </c>
      <c r="F93" s="10">
        <v>93</v>
      </c>
      <c r="G93" s="10">
        <f t="shared" si="68"/>
        <v>9</v>
      </c>
      <c r="H93" s="14">
        <f t="shared" si="80"/>
        <v>0.10714285714285714</v>
      </c>
      <c r="I93" s="10">
        <v>113</v>
      </c>
      <c r="J93" s="10">
        <f t="shared" si="69"/>
        <v>20</v>
      </c>
      <c r="K93" s="14">
        <f t="shared" si="81"/>
        <v>0.21505376344086022</v>
      </c>
      <c r="L93" s="52">
        <v>106</v>
      </c>
      <c r="M93" s="52">
        <v>-7</v>
      </c>
      <c r="N93" s="58">
        <v>-6.1946902654867256E-2</v>
      </c>
      <c r="O93" s="52">
        <v>103</v>
      </c>
      <c r="P93" s="52">
        <f t="shared" si="114"/>
        <v>-3</v>
      </c>
      <c r="Q93" s="58">
        <f t="shared" si="95"/>
        <v>-2.8301886792452831E-2</v>
      </c>
      <c r="R93" s="52">
        <v>122</v>
      </c>
      <c r="S93" s="52">
        <f t="shared" si="96"/>
        <v>19</v>
      </c>
      <c r="T93" s="58">
        <f t="shared" si="97"/>
        <v>0.18446601941747573</v>
      </c>
      <c r="U93" s="52">
        <v>135</v>
      </c>
      <c r="V93" s="52">
        <f t="shared" si="115"/>
        <v>13</v>
      </c>
      <c r="W93" s="58">
        <f t="shared" si="116"/>
        <v>0.10655737704918032</v>
      </c>
      <c r="X93" s="166">
        <v>103</v>
      </c>
      <c r="Y93" s="52">
        <f t="shared" si="98"/>
        <v>-32</v>
      </c>
      <c r="Z93" s="95">
        <f t="shared" si="99"/>
        <v>-0.23703703703703705</v>
      </c>
      <c r="AA93" s="202">
        <v>152</v>
      </c>
      <c r="AB93" s="172">
        <f t="shared" si="100"/>
        <v>49</v>
      </c>
      <c r="AC93" s="100">
        <f t="shared" si="101"/>
        <v>0.47572815533980584</v>
      </c>
      <c r="AD93" s="219">
        <v>0</v>
      </c>
      <c r="AE93" s="219"/>
      <c r="AF93" s="52">
        <v>0</v>
      </c>
      <c r="AG93" s="52">
        <f t="shared" si="102"/>
        <v>-152</v>
      </c>
      <c r="AH93" s="58">
        <f t="shared" si="103"/>
        <v>-1</v>
      </c>
      <c r="AI93" s="65">
        <v>0</v>
      </c>
      <c r="AJ93" s="50">
        <v>0</v>
      </c>
      <c r="AL93" s="136"/>
      <c r="AM93" s="256">
        <f t="shared" si="104"/>
        <v>0</v>
      </c>
      <c r="AN93" s="257">
        <v>0</v>
      </c>
      <c r="AO93" s="50">
        <v>0</v>
      </c>
      <c r="AP93" s="261">
        <v>0</v>
      </c>
      <c r="AQ93" s="261">
        <v>0</v>
      </c>
      <c r="AR93" s="65">
        <f t="shared" si="117"/>
        <v>0</v>
      </c>
      <c r="AS93" s="78">
        <f t="shared" si="118"/>
        <v>0</v>
      </c>
      <c r="AT93" s="65">
        <f t="shared" si="119"/>
        <v>0</v>
      </c>
      <c r="AU93" s="99" t="e">
        <f t="shared" si="120"/>
        <v>#DIV/0!</v>
      </c>
      <c r="AV93" s="219">
        <f t="shared" si="105"/>
        <v>0</v>
      </c>
      <c r="AW93" s="99" t="e">
        <f t="shared" si="106"/>
        <v>#DIV/0!</v>
      </c>
      <c r="AX93" s="65">
        <v>0</v>
      </c>
      <c r="AY93" s="52">
        <f t="shared" si="88"/>
        <v>0</v>
      </c>
      <c r="AZ93" s="51" t="e">
        <f t="shared" si="89"/>
        <v>#DIV/0!</v>
      </c>
      <c r="BA93" s="616">
        <v>0</v>
      </c>
      <c r="BB93" s="616">
        <v>0</v>
      </c>
      <c r="BC93" s="616">
        <f t="shared" si="121"/>
        <v>0</v>
      </c>
      <c r="BD93" s="31"/>
      <c r="BE93" s="65">
        <v>0</v>
      </c>
      <c r="BF93" s="52">
        <f t="shared" si="107"/>
        <v>0</v>
      </c>
      <c r="BG93" s="51" t="e">
        <f t="shared" si="108"/>
        <v>#DIV/0!</v>
      </c>
      <c r="BH93" s="65"/>
      <c r="BI93" s="65"/>
      <c r="BJ93" s="65"/>
      <c r="BK93" s="65"/>
      <c r="BL93" s="39">
        <f t="shared" si="90"/>
        <v>0</v>
      </c>
      <c r="BM93" s="39">
        <f t="shared" si="109"/>
        <v>0</v>
      </c>
      <c r="BN93" s="39"/>
      <c r="BO93" s="534"/>
      <c r="BP93" s="39">
        <f t="shared" si="86"/>
        <v>0</v>
      </c>
      <c r="BQ93" s="51" t="e">
        <f t="shared" si="110"/>
        <v>#DIV/0!</v>
      </c>
      <c r="BR93" s="99" t="e">
        <f t="shared" si="87"/>
        <v>#DIV/0!</v>
      </c>
      <c r="BV93">
        <v>7</v>
      </c>
      <c r="BW93" s="280">
        <f t="shared" si="111"/>
        <v>7</v>
      </c>
      <c r="BX93" s="39">
        <f t="shared" si="112"/>
        <v>7</v>
      </c>
      <c r="BY93" s="51" t="e">
        <f t="shared" si="113"/>
        <v>#DIV/0!</v>
      </c>
    </row>
    <row r="94" spans="1:77" s="79" customFormat="1" ht="18" customHeight="1">
      <c r="A94" s="59" t="s">
        <v>83</v>
      </c>
      <c r="B94" s="323">
        <v>218</v>
      </c>
      <c r="C94" s="323">
        <v>1117</v>
      </c>
      <c r="D94" s="323">
        <f t="shared" si="67"/>
        <v>899</v>
      </c>
      <c r="E94" s="352">
        <f t="shared" si="79"/>
        <v>4.1238532110091741</v>
      </c>
      <c r="F94" s="582">
        <v>1168</v>
      </c>
      <c r="G94" s="582">
        <f t="shared" si="68"/>
        <v>51</v>
      </c>
      <c r="H94" s="274">
        <f t="shared" si="80"/>
        <v>4.5658012533572066E-2</v>
      </c>
      <c r="I94" s="582">
        <v>1324</v>
      </c>
      <c r="J94" s="582">
        <f t="shared" si="69"/>
        <v>156</v>
      </c>
      <c r="K94" s="274">
        <f t="shared" si="81"/>
        <v>0.13356164383561644</v>
      </c>
      <c r="L94" s="62">
        <v>1444</v>
      </c>
      <c r="M94" s="62">
        <v>120</v>
      </c>
      <c r="N94" s="241">
        <v>9.0634441087613288E-2</v>
      </c>
      <c r="O94" s="62">
        <v>1715</v>
      </c>
      <c r="P94" s="62">
        <f t="shared" si="114"/>
        <v>271</v>
      </c>
      <c r="Q94" s="241">
        <f t="shared" si="95"/>
        <v>0.18767313019390583</v>
      </c>
      <c r="R94" s="62">
        <v>2082</v>
      </c>
      <c r="S94" s="62">
        <f t="shared" si="96"/>
        <v>367</v>
      </c>
      <c r="T94" s="241">
        <f t="shared" si="97"/>
        <v>0.21399416909620991</v>
      </c>
      <c r="U94" s="62">
        <v>2191</v>
      </c>
      <c r="V94" s="62">
        <f t="shared" si="115"/>
        <v>109</v>
      </c>
      <c r="W94" s="241">
        <f t="shared" si="116"/>
        <v>5.2353506243996158E-2</v>
      </c>
      <c r="X94" s="166">
        <v>2282</v>
      </c>
      <c r="Y94" s="62">
        <f t="shared" si="98"/>
        <v>91</v>
      </c>
      <c r="Z94" s="95">
        <f t="shared" si="99"/>
        <v>4.1533546325878593E-2</v>
      </c>
      <c r="AA94" s="202">
        <v>2618</v>
      </c>
      <c r="AB94" s="583">
        <f t="shared" si="100"/>
        <v>336</v>
      </c>
      <c r="AC94" s="584">
        <f t="shared" si="101"/>
        <v>0.14723926380368099</v>
      </c>
      <c r="AD94" s="78">
        <v>2618</v>
      </c>
      <c r="AE94" s="78"/>
      <c r="AF94" s="62">
        <v>2587</v>
      </c>
      <c r="AG94" s="62">
        <f t="shared" si="102"/>
        <v>-31</v>
      </c>
      <c r="AH94" s="241">
        <f t="shared" si="103"/>
        <v>-1.1841100076394193E-2</v>
      </c>
      <c r="AI94" s="78">
        <v>2618</v>
      </c>
      <c r="AJ94" s="79">
        <v>2618</v>
      </c>
      <c r="AK94" s="585">
        <v>2687</v>
      </c>
      <c r="AL94" s="136"/>
      <c r="AM94" s="202">
        <f t="shared" si="104"/>
        <v>2687</v>
      </c>
      <c r="AN94" s="597">
        <v>2070</v>
      </c>
      <c r="AO94" s="79">
        <v>2070</v>
      </c>
      <c r="AP94" s="591">
        <v>480</v>
      </c>
      <c r="AQ94" s="591">
        <v>9</v>
      </c>
      <c r="AR94" s="78">
        <f t="shared" si="117"/>
        <v>489</v>
      </c>
      <c r="AS94" s="78">
        <f t="shared" si="118"/>
        <v>2259.24496</v>
      </c>
      <c r="AT94" s="78">
        <f t="shared" si="119"/>
        <v>-327.75504000000001</v>
      </c>
      <c r="AU94" s="260">
        <f t="shared" si="120"/>
        <v>-0.12669309625048319</v>
      </c>
      <c r="AV94" s="537">
        <f t="shared" si="105"/>
        <v>-327.75504000000001</v>
      </c>
      <c r="AW94" s="260">
        <f t="shared" si="106"/>
        <v>-0.12669309625048319</v>
      </c>
      <c r="AX94" s="78">
        <v>2058</v>
      </c>
      <c r="AY94" s="62">
        <f t="shared" si="88"/>
        <v>-529</v>
      </c>
      <c r="AZ94" s="579">
        <f t="shared" si="89"/>
        <v>-0.20448395825280247</v>
      </c>
      <c r="BA94" s="616">
        <v>2057.5892600000002</v>
      </c>
      <c r="BB94" s="616">
        <v>1770.24496</v>
      </c>
      <c r="BC94" s="616">
        <f t="shared" si="121"/>
        <v>287.3443000000002</v>
      </c>
      <c r="BD94" s="31">
        <f t="shared" si="122"/>
        <v>0.13965095249379372</v>
      </c>
      <c r="BE94" s="78">
        <v>2051</v>
      </c>
      <c r="BF94" s="62">
        <f t="shared" si="107"/>
        <v>-7</v>
      </c>
      <c r="BG94" s="579">
        <f t="shared" si="108"/>
        <v>-3.4013605442176869E-3</v>
      </c>
      <c r="BH94" s="78">
        <v>475</v>
      </c>
      <c r="BI94" s="78"/>
      <c r="BJ94" s="78"/>
      <c r="BK94" s="78">
        <v>17</v>
      </c>
      <c r="BL94" s="487">
        <f t="shared" si="90"/>
        <v>2543</v>
      </c>
      <c r="BM94" s="487">
        <f t="shared" si="109"/>
        <v>283.75504000000001</v>
      </c>
      <c r="BN94" s="487">
        <v>2091</v>
      </c>
      <c r="BO94" s="595">
        <v>2091</v>
      </c>
      <c r="BP94" s="39">
        <f t="shared" si="86"/>
        <v>40</v>
      </c>
      <c r="BQ94" s="579">
        <f t="shared" si="110"/>
        <v>0.12559728804263881</v>
      </c>
      <c r="BR94" s="99">
        <f t="shared" si="87"/>
        <v>1.9502681618722574E-2</v>
      </c>
      <c r="BS94" s="487">
        <v>630</v>
      </c>
      <c r="BV94">
        <v>11</v>
      </c>
      <c r="BW94" s="280">
        <f t="shared" si="111"/>
        <v>2732</v>
      </c>
      <c r="BX94" s="39">
        <f t="shared" si="112"/>
        <v>189</v>
      </c>
      <c r="BY94" s="51">
        <f t="shared" si="113"/>
        <v>7.4321667322060553E-2</v>
      </c>
    </row>
    <row r="95" spans="1:77" s="79" customFormat="1" ht="18" customHeight="1">
      <c r="A95" s="349" t="s">
        <v>142</v>
      </c>
      <c r="B95" s="323">
        <v>100</v>
      </c>
      <c r="C95" s="323">
        <v>392</v>
      </c>
      <c r="D95" s="323">
        <f t="shared" si="67"/>
        <v>292</v>
      </c>
      <c r="E95" s="352">
        <f t="shared" si="79"/>
        <v>2.92</v>
      </c>
      <c r="F95" s="582">
        <v>416</v>
      </c>
      <c r="G95" s="582">
        <f t="shared" si="68"/>
        <v>24</v>
      </c>
      <c r="H95" s="274">
        <f t="shared" si="80"/>
        <v>6.1224489795918366E-2</v>
      </c>
      <c r="I95" s="582">
        <v>483</v>
      </c>
      <c r="J95" s="582">
        <f t="shared" si="69"/>
        <v>67</v>
      </c>
      <c r="K95" s="274">
        <f t="shared" si="81"/>
        <v>0.16105769230769232</v>
      </c>
      <c r="L95" s="62">
        <v>606</v>
      </c>
      <c r="M95" s="62">
        <v>123</v>
      </c>
      <c r="N95" s="241">
        <v>0.25465838509316768</v>
      </c>
      <c r="O95" s="62">
        <v>537</v>
      </c>
      <c r="P95" s="62">
        <f t="shared" si="114"/>
        <v>-69</v>
      </c>
      <c r="Q95" s="241">
        <f t="shared" si="95"/>
        <v>-0.11386138613861387</v>
      </c>
      <c r="R95" s="62">
        <v>651</v>
      </c>
      <c r="S95" s="62">
        <f t="shared" si="96"/>
        <v>114</v>
      </c>
      <c r="T95" s="241">
        <f t="shared" si="97"/>
        <v>0.21229050279329609</v>
      </c>
      <c r="U95" s="62">
        <v>643</v>
      </c>
      <c r="V95" s="62">
        <f t="shared" si="115"/>
        <v>-8</v>
      </c>
      <c r="W95" s="241">
        <f t="shared" si="116"/>
        <v>-1.2288786482334869E-2</v>
      </c>
      <c r="X95" s="166">
        <v>583</v>
      </c>
      <c r="Y95" s="62">
        <f t="shared" si="98"/>
        <v>-60</v>
      </c>
      <c r="Z95" s="95">
        <f t="shared" si="99"/>
        <v>-9.3312597200622086E-2</v>
      </c>
      <c r="AA95" s="202">
        <v>779</v>
      </c>
      <c r="AB95" s="583">
        <f t="shared" si="100"/>
        <v>196</v>
      </c>
      <c r="AC95" s="584">
        <f t="shared" si="101"/>
        <v>0.33619210977701541</v>
      </c>
      <c r="AD95" s="537">
        <v>816</v>
      </c>
      <c r="AE95" s="537"/>
      <c r="AF95" s="62">
        <v>794</v>
      </c>
      <c r="AG95" s="62">
        <f t="shared" si="102"/>
        <v>15</v>
      </c>
      <c r="AH95" s="241">
        <f t="shared" si="103"/>
        <v>1.9255455712451863E-2</v>
      </c>
      <c r="AI95" s="78">
        <v>816</v>
      </c>
      <c r="AJ95" s="79">
        <v>816</v>
      </c>
      <c r="AK95" s="585">
        <v>838</v>
      </c>
      <c r="AL95" s="136"/>
      <c r="AM95" s="202">
        <f t="shared" si="104"/>
        <v>838</v>
      </c>
      <c r="AN95" s="597">
        <v>709</v>
      </c>
      <c r="AO95" s="79">
        <v>709</v>
      </c>
      <c r="AP95" s="591">
        <v>28</v>
      </c>
      <c r="AQ95" s="591">
        <v>2</v>
      </c>
      <c r="AR95" s="78">
        <f t="shared" si="117"/>
        <v>30</v>
      </c>
      <c r="AS95" s="78">
        <f t="shared" si="118"/>
        <v>660.24746000000005</v>
      </c>
      <c r="AT95" s="78">
        <f t="shared" si="119"/>
        <v>-133.75253999999995</v>
      </c>
      <c r="AU95" s="260">
        <f t="shared" si="120"/>
        <v>-0.16845408060453396</v>
      </c>
      <c r="AV95" s="78">
        <f t="shared" si="105"/>
        <v>-133.75253999999995</v>
      </c>
      <c r="AW95" s="260">
        <f t="shared" si="106"/>
        <v>-0.16845408060453396</v>
      </c>
      <c r="AX95" s="78">
        <v>768</v>
      </c>
      <c r="AY95" s="62">
        <f t="shared" si="88"/>
        <v>-26</v>
      </c>
      <c r="AZ95" s="579">
        <f t="shared" si="89"/>
        <v>-3.2745591939546598E-2</v>
      </c>
      <c r="BA95" s="616">
        <v>768.47098000000005</v>
      </c>
      <c r="BB95" s="616">
        <v>630.24746000000005</v>
      </c>
      <c r="BC95" s="616">
        <f t="shared" si="121"/>
        <v>138.22352000000001</v>
      </c>
      <c r="BD95" s="31">
        <f t="shared" si="122"/>
        <v>0.17986823653379858</v>
      </c>
      <c r="BE95" s="78">
        <v>888</v>
      </c>
      <c r="BF95" s="62">
        <f t="shared" si="107"/>
        <v>120</v>
      </c>
      <c r="BG95" s="579">
        <f t="shared" si="108"/>
        <v>0.15625</v>
      </c>
      <c r="BH95" s="78">
        <v>22</v>
      </c>
      <c r="BI95" s="78"/>
      <c r="BJ95" s="78"/>
      <c r="BK95" s="78"/>
      <c r="BL95" s="487">
        <f t="shared" si="90"/>
        <v>910</v>
      </c>
      <c r="BM95" s="487">
        <f t="shared" si="109"/>
        <v>249.75253999999995</v>
      </c>
      <c r="BN95" s="487">
        <v>907</v>
      </c>
      <c r="BO95" s="595">
        <v>1389</v>
      </c>
      <c r="BP95" s="39">
        <f t="shared" si="86"/>
        <v>501</v>
      </c>
      <c r="BQ95" s="579">
        <f t="shared" si="110"/>
        <v>0.37827111065296631</v>
      </c>
      <c r="BR95" s="99">
        <f t="shared" si="87"/>
        <v>0.56418918918918914</v>
      </c>
      <c r="BS95" s="487">
        <v>27</v>
      </c>
      <c r="BV95">
        <v>16</v>
      </c>
      <c r="BW95" s="280">
        <f t="shared" si="111"/>
        <v>950</v>
      </c>
      <c r="BX95" s="39">
        <f t="shared" si="112"/>
        <v>40</v>
      </c>
      <c r="BY95" s="51">
        <f t="shared" si="113"/>
        <v>4.3956043956043959E-2</v>
      </c>
    </row>
    <row r="96" spans="1:77" s="79" customFormat="1" ht="18" customHeight="1">
      <c r="A96" s="59" t="s">
        <v>69</v>
      </c>
      <c r="B96" s="323">
        <v>0</v>
      </c>
      <c r="C96" s="323">
        <f>4305+106</f>
        <v>4411</v>
      </c>
      <c r="D96" s="323">
        <f t="shared" si="67"/>
        <v>4411</v>
      </c>
      <c r="E96" s="587" t="s">
        <v>78</v>
      </c>
      <c r="F96" s="582">
        <f>4746+97</f>
        <v>4843</v>
      </c>
      <c r="G96" s="582">
        <f t="shared" si="68"/>
        <v>432</v>
      </c>
      <c r="H96" s="274">
        <f t="shared" si="80"/>
        <v>9.7936975742462032E-2</v>
      </c>
      <c r="I96" s="582">
        <v>5107</v>
      </c>
      <c r="J96" s="582">
        <f t="shared" si="69"/>
        <v>264</v>
      </c>
      <c r="K96" s="274">
        <f t="shared" si="81"/>
        <v>5.4511666322527359E-2</v>
      </c>
      <c r="L96" s="62">
        <v>5891</v>
      </c>
      <c r="M96" s="62">
        <v>784</v>
      </c>
      <c r="N96" s="241">
        <v>0.15351478363031135</v>
      </c>
      <c r="O96" s="62">
        <v>6362</v>
      </c>
      <c r="P96" s="62">
        <f t="shared" si="114"/>
        <v>471</v>
      </c>
      <c r="Q96" s="241">
        <f t="shared" si="95"/>
        <v>7.9952469869292137E-2</v>
      </c>
      <c r="R96" s="62">
        <v>8548</v>
      </c>
      <c r="S96" s="62">
        <f t="shared" si="96"/>
        <v>2186</v>
      </c>
      <c r="T96" s="241">
        <f t="shared" si="97"/>
        <v>0.34360264067903173</v>
      </c>
      <c r="U96" s="62">
        <v>8339</v>
      </c>
      <c r="V96" s="62">
        <f t="shared" si="115"/>
        <v>-209</v>
      </c>
      <c r="W96" s="241">
        <f t="shared" si="116"/>
        <v>-2.4450163781001403E-2</v>
      </c>
      <c r="X96" s="166">
        <v>9166</v>
      </c>
      <c r="Y96" s="62">
        <f t="shared" si="98"/>
        <v>827</v>
      </c>
      <c r="Z96" s="95">
        <f t="shared" si="99"/>
        <v>9.9172562657392979E-2</v>
      </c>
      <c r="AA96" s="202">
        <v>10020</v>
      </c>
      <c r="AB96" s="583">
        <f t="shared" si="100"/>
        <v>854</v>
      </c>
      <c r="AC96" s="584">
        <f t="shared" si="101"/>
        <v>9.3170412393628624E-2</v>
      </c>
      <c r="AD96" s="78">
        <v>8364</v>
      </c>
      <c r="AE96" s="78">
        <v>274</v>
      </c>
      <c r="AF96" s="62">
        <v>8074</v>
      </c>
      <c r="AG96" s="62">
        <f t="shared" si="102"/>
        <v>-1946</v>
      </c>
      <c r="AH96" s="241">
        <f t="shared" si="103"/>
        <v>-0.19421157684630738</v>
      </c>
      <c r="AI96" s="78">
        <f>8364-151</f>
        <v>8213</v>
      </c>
      <c r="AJ96" s="79">
        <f>8638-151</f>
        <v>8487</v>
      </c>
      <c r="AK96" s="585">
        <v>8630</v>
      </c>
      <c r="AL96" s="136"/>
      <c r="AM96" s="202">
        <f t="shared" si="104"/>
        <v>8630</v>
      </c>
      <c r="AN96" s="597">
        <v>7396</v>
      </c>
      <c r="AO96" s="79">
        <v>7664</v>
      </c>
      <c r="AP96" s="591">
        <v>742</v>
      </c>
      <c r="AQ96" s="591">
        <v>47</v>
      </c>
      <c r="AR96" s="78">
        <f t="shared" si="117"/>
        <v>789</v>
      </c>
      <c r="AS96" s="78">
        <f t="shared" si="118"/>
        <v>7942.7015199999996</v>
      </c>
      <c r="AT96" s="78">
        <f t="shared" si="119"/>
        <v>-131.29848000000038</v>
      </c>
      <c r="AU96" s="260">
        <f t="shared" si="120"/>
        <v>-1.626188754025271E-2</v>
      </c>
      <c r="AV96" s="537">
        <f t="shared" si="105"/>
        <v>-131.29848000000038</v>
      </c>
      <c r="AW96" s="260">
        <f t="shared" si="106"/>
        <v>-1.626188754025271E-2</v>
      </c>
      <c r="AX96" s="78">
        <v>7378</v>
      </c>
      <c r="AY96" s="62">
        <f t="shared" si="88"/>
        <v>-696</v>
      </c>
      <c r="AZ96" s="579">
        <f t="shared" si="89"/>
        <v>-8.6202625712162501E-2</v>
      </c>
      <c r="BA96" s="616">
        <f>7112.68873+265.5727</f>
        <v>7378.2614299999996</v>
      </c>
      <c r="BB96" s="616">
        <f>6923.28241+230.41911</f>
        <v>7153.7015199999996</v>
      </c>
      <c r="BC96" s="616">
        <f t="shared" si="121"/>
        <v>224.55990999999995</v>
      </c>
      <c r="BD96" s="31">
        <f t="shared" si="122"/>
        <v>3.043534200169971E-2</v>
      </c>
      <c r="BE96" s="78">
        <v>7569</v>
      </c>
      <c r="BF96" s="62">
        <f t="shared" si="107"/>
        <v>191</v>
      </c>
      <c r="BG96" s="579">
        <f t="shared" si="108"/>
        <v>2.588777446462456E-2</v>
      </c>
      <c r="BH96" s="78">
        <v>2267</v>
      </c>
      <c r="BI96" s="78"/>
      <c r="BJ96" s="78"/>
      <c r="BK96" s="78">
        <v>12</v>
      </c>
      <c r="BL96" s="487">
        <f t="shared" si="90"/>
        <v>9848</v>
      </c>
      <c r="BM96" s="487">
        <f t="shared" si="109"/>
        <v>1905.2984800000004</v>
      </c>
      <c r="BN96" s="487">
        <v>7884</v>
      </c>
      <c r="BO96" s="595">
        <v>7834</v>
      </c>
      <c r="BP96" s="39">
        <f t="shared" si="86"/>
        <v>265</v>
      </c>
      <c r="BQ96" s="579">
        <f t="shared" si="110"/>
        <v>0.23988040784390455</v>
      </c>
      <c r="BR96" s="99">
        <f t="shared" si="87"/>
        <v>3.5011230017175321E-2</v>
      </c>
      <c r="BS96" s="487">
        <v>3069</v>
      </c>
      <c r="BV96">
        <v>12</v>
      </c>
      <c r="BW96" s="280">
        <f t="shared" si="111"/>
        <v>10965</v>
      </c>
      <c r="BX96" s="39">
        <f t="shared" si="112"/>
        <v>1117</v>
      </c>
      <c r="BY96" s="51">
        <f t="shared" si="113"/>
        <v>0.11342404549147035</v>
      </c>
    </row>
    <row r="97" spans="1:77" s="79" customFormat="1" ht="18" customHeight="1">
      <c r="A97" s="59" t="s">
        <v>16</v>
      </c>
      <c r="B97" s="323">
        <v>0</v>
      </c>
      <c r="C97" s="323">
        <v>0</v>
      </c>
      <c r="D97" s="323">
        <f t="shared" si="67"/>
        <v>0</v>
      </c>
      <c r="E97" s="587" t="s">
        <v>78</v>
      </c>
      <c r="F97" s="582">
        <v>0</v>
      </c>
      <c r="G97" s="582">
        <f t="shared" si="68"/>
        <v>0</v>
      </c>
      <c r="H97" s="587" t="s">
        <v>78</v>
      </c>
      <c r="I97" s="582">
        <v>93</v>
      </c>
      <c r="J97" s="582">
        <f t="shared" si="69"/>
        <v>93</v>
      </c>
      <c r="K97" s="587" t="s">
        <v>78</v>
      </c>
      <c r="L97" s="62">
        <v>3275</v>
      </c>
      <c r="M97" s="62">
        <v>3182</v>
      </c>
      <c r="N97" s="241">
        <v>34.215053763440864</v>
      </c>
      <c r="O97" s="62">
        <v>3621</v>
      </c>
      <c r="P97" s="62">
        <f t="shared" si="114"/>
        <v>346</v>
      </c>
      <c r="Q97" s="241">
        <f t="shared" si="95"/>
        <v>0.10564885496183206</v>
      </c>
      <c r="R97" s="62">
        <v>5580</v>
      </c>
      <c r="S97" s="62">
        <f t="shared" si="96"/>
        <v>1959</v>
      </c>
      <c r="T97" s="241">
        <f t="shared" si="97"/>
        <v>0.54101077050538526</v>
      </c>
      <c r="U97" s="62">
        <v>5032</v>
      </c>
      <c r="V97" s="62">
        <f t="shared" si="115"/>
        <v>-548</v>
      </c>
      <c r="W97" s="241">
        <f t="shared" si="116"/>
        <v>-9.8207885304659501E-2</v>
      </c>
      <c r="X97" s="166">
        <v>7076</v>
      </c>
      <c r="Y97" s="62">
        <f t="shared" si="98"/>
        <v>2044</v>
      </c>
      <c r="Z97" s="95">
        <f t="shared" si="99"/>
        <v>0.40620031796502387</v>
      </c>
      <c r="AA97" s="202">
        <v>7751</v>
      </c>
      <c r="AB97" s="583">
        <f t="shared" si="100"/>
        <v>675</v>
      </c>
      <c r="AC97" s="584">
        <f t="shared" si="101"/>
        <v>9.5392877331825887E-2</v>
      </c>
      <c r="AD97" s="78">
        <v>7005</v>
      </c>
      <c r="AE97" s="78">
        <v>8</v>
      </c>
      <c r="AF97" s="62">
        <v>7003</v>
      </c>
      <c r="AG97" s="62">
        <f t="shared" si="102"/>
        <v>-748</v>
      </c>
      <c r="AH97" s="241">
        <f t="shared" si="103"/>
        <v>-9.6503676944910341E-2</v>
      </c>
      <c r="AI97" s="78">
        <v>7005</v>
      </c>
      <c r="AJ97" s="79">
        <v>7013</v>
      </c>
      <c r="AK97" s="585">
        <v>6719</v>
      </c>
      <c r="AL97" s="136"/>
      <c r="AM97" s="202">
        <f t="shared" si="104"/>
        <v>6719</v>
      </c>
      <c r="AN97" s="597">
        <v>7451</v>
      </c>
      <c r="AO97" s="79">
        <v>7460</v>
      </c>
      <c r="AP97" s="591">
        <v>76</v>
      </c>
      <c r="AQ97" s="591">
        <v>15</v>
      </c>
      <c r="AR97" s="78">
        <f t="shared" si="117"/>
        <v>91</v>
      </c>
      <c r="AS97" s="78">
        <f t="shared" si="118"/>
        <v>6801.4298999999992</v>
      </c>
      <c r="AT97" s="78">
        <f t="shared" si="119"/>
        <v>-201.57010000000082</v>
      </c>
      <c r="AU97" s="260">
        <f t="shared" si="120"/>
        <v>-2.87833928316437E-2</v>
      </c>
      <c r="AV97" s="537">
        <f t="shared" si="105"/>
        <v>-201.57010000000082</v>
      </c>
      <c r="AW97" s="260">
        <f t="shared" si="106"/>
        <v>-2.87833928316437E-2</v>
      </c>
      <c r="AX97" s="78">
        <v>6928</v>
      </c>
      <c r="AY97" s="62">
        <f t="shared" si="88"/>
        <v>-75</v>
      </c>
      <c r="AZ97" s="579">
        <f t="shared" si="89"/>
        <v>-1.0709695844638012E-2</v>
      </c>
      <c r="BA97" s="616">
        <f>6919.58223+8.2431</f>
        <v>6927.8253299999997</v>
      </c>
      <c r="BB97" s="616">
        <f>6706.17207+4.25783</f>
        <v>6710.4298999999992</v>
      </c>
      <c r="BC97" s="616">
        <f t="shared" si="121"/>
        <v>217.39543000000049</v>
      </c>
      <c r="BD97" s="31">
        <f t="shared" si="122"/>
        <v>3.1380039138486839E-2</v>
      </c>
      <c r="BE97" s="78">
        <v>7637</v>
      </c>
      <c r="BF97" s="62">
        <f t="shared" si="107"/>
        <v>709</v>
      </c>
      <c r="BG97" s="579">
        <f t="shared" si="108"/>
        <v>0.10233833718244803</v>
      </c>
      <c r="BH97" s="78">
        <v>378</v>
      </c>
      <c r="BI97" s="78"/>
      <c r="BJ97" s="78"/>
      <c r="BK97" s="78">
        <v>79</v>
      </c>
      <c r="BL97" s="487">
        <f t="shared" si="90"/>
        <v>8094</v>
      </c>
      <c r="BM97" s="487">
        <f t="shared" si="109"/>
        <v>1292.5701000000008</v>
      </c>
      <c r="BN97" s="487">
        <v>8852</v>
      </c>
      <c r="BO97" s="595">
        <v>7962</v>
      </c>
      <c r="BP97" s="39">
        <f t="shared" si="86"/>
        <v>325</v>
      </c>
      <c r="BQ97" s="579">
        <f t="shared" si="110"/>
        <v>0.19004387592085614</v>
      </c>
      <c r="BR97" s="99">
        <f t="shared" si="87"/>
        <v>4.2555977478067303E-2</v>
      </c>
      <c r="BS97" s="487">
        <v>469</v>
      </c>
      <c r="BV97">
        <v>60</v>
      </c>
      <c r="BW97" s="280">
        <f t="shared" si="111"/>
        <v>9381</v>
      </c>
      <c r="BX97" s="39">
        <f t="shared" si="112"/>
        <v>1287</v>
      </c>
      <c r="BY97" s="51">
        <f t="shared" si="113"/>
        <v>0.15900667160859897</v>
      </c>
    </row>
    <row r="98" spans="1:77" ht="18" customHeight="1">
      <c r="A98" s="349" t="s">
        <v>410</v>
      </c>
      <c r="B98" s="323">
        <v>0</v>
      </c>
      <c r="C98" s="323">
        <v>0</v>
      </c>
      <c r="D98" s="323"/>
      <c r="E98" s="324"/>
      <c r="F98" s="10">
        <v>0</v>
      </c>
      <c r="G98" s="10"/>
      <c r="H98" s="324"/>
      <c r="I98" s="10">
        <v>0</v>
      </c>
      <c r="J98" s="10"/>
      <c r="K98" s="324"/>
      <c r="L98" s="52">
        <v>0</v>
      </c>
      <c r="M98" s="52"/>
      <c r="N98" s="58"/>
      <c r="O98" s="52">
        <v>0</v>
      </c>
      <c r="P98" s="52"/>
      <c r="Q98" s="58"/>
      <c r="R98" s="52">
        <v>0</v>
      </c>
      <c r="S98" s="52"/>
      <c r="T98" s="58"/>
      <c r="U98" s="52">
        <v>0</v>
      </c>
      <c r="V98" s="52">
        <f t="shared" si="115"/>
        <v>0</v>
      </c>
      <c r="W98" s="60" t="s">
        <v>78</v>
      </c>
      <c r="X98" s="166">
        <v>0</v>
      </c>
      <c r="Y98" s="52">
        <f t="shared" si="98"/>
        <v>0</v>
      </c>
      <c r="AA98" s="202">
        <v>0</v>
      </c>
      <c r="AB98" s="172">
        <f t="shared" si="100"/>
        <v>0</v>
      </c>
      <c r="AC98" s="70" t="s">
        <v>78</v>
      </c>
      <c r="AD98" s="219">
        <v>25</v>
      </c>
      <c r="AE98" s="219"/>
      <c r="AF98" s="52">
        <v>0</v>
      </c>
      <c r="AG98" s="52">
        <f>AF98-AA98</f>
        <v>0</v>
      </c>
      <c r="AH98" s="58" t="e">
        <f t="shared" si="103"/>
        <v>#DIV/0!</v>
      </c>
      <c r="AI98" s="65">
        <f>25-25</f>
        <v>0</v>
      </c>
      <c r="AJ98" s="50">
        <f>25-25</f>
        <v>0</v>
      </c>
      <c r="AK98" s="220"/>
      <c r="AL98" s="136">
        <v>25</v>
      </c>
      <c r="AM98" s="256">
        <f t="shared" si="104"/>
        <v>25</v>
      </c>
      <c r="AN98" s="257">
        <v>0</v>
      </c>
      <c r="AO98" s="50">
        <v>0</v>
      </c>
      <c r="AP98" s="261">
        <v>0</v>
      </c>
      <c r="AQ98" s="261">
        <v>0</v>
      </c>
      <c r="AR98" s="65">
        <f t="shared" si="117"/>
        <v>0</v>
      </c>
      <c r="AS98" s="78">
        <f t="shared" si="118"/>
        <v>0</v>
      </c>
      <c r="AT98" s="65">
        <f t="shared" si="119"/>
        <v>0</v>
      </c>
      <c r="AU98" s="99" t="e">
        <f t="shared" si="120"/>
        <v>#DIV/0!</v>
      </c>
      <c r="AV98" s="65">
        <f>+AS98-AF98</f>
        <v>0</v>
      </c>
      <c r="AW98" s="99" t="e">
        <f>+AV98/AF98</f>
        <v>#DIV/0!</v>
      </c>
      <c r="AX98" s="65">
        <v>0</v>
      </c>
      <c r="AY98" s="52">
        <f>AX98-AF98</f>
        <v>0</v>
      </c>
      <c r="AZ98" s="51" t="e">
        <f>AY98/AF98</f>
        <v>#DIV/0!</v>
      </c>
      <c r="BA98" s="616">
        <v>130</v>
      </c>
      <c r="BB98" s="616">
        <v>0</v>
      </c>
      <c r="BC98" s="616">
        <f t="shared" si="121"/>
        <v>130</v>
      </c>
      <c r="BD98" s="31">
        <f t="shared" si="122"/>
        <v>1</v>
      </c>
      <c r="BE98" s="65">
        <v>0</v>
      </c>
      <c r="BF98" s="52">
        <v>0</v>
      </c>
      <c r="BG98" s="51" t="e">
        <f t="shared" si="108"/>
        <v>#DIV/0!</v>
      </c>
      <c r="BH98" s="65"/>
      <c r="BI98" s="65"/>
      <c r="BJ98" s="65"/>
      <c r="BK98" s="65"/>
      <c r="BL98" s="39">
        <f t="shared" si="90"/>
        <v>0</v>
      </c>
      <c r="BM98" s="39">
        <f t="shared" si="109"/>
        <v>0</v>
      </c>
      <c r="BN98" s="39"/>
      <c r="BO98" s="534"/>
      <c r="BP98" s="39">
        <f t="shared" si="86"/>
        <v>0</v>
      </c>
      <c r="BQ98" s="51" t="e">
        <f t="shared" si="110"/>
        <v>#DIV/0!</v>
      </c>
      <c r="BR98" s="99" t="e">
        <f t="shared" si="87"/>
        <v>#DIV/0!</v>
      </c>
      <c r="BV98"/>
      <c r="BW98" s="280">
        <f t="shared" si="111"/>
        <v>0</v>
      </c>
      <c r="BX98" s="39">
        <f t="shared" si="112"/>
        <v>0</v>
      </c>
      <c r="BY98" s="51" t="e">
        <f t="shared" si="113"/>
        <v>#DIV/0!</v>
      </c>
    </row>
    <row r="99" spans="1:77" ht="18" customHeight="1">
      <c r="A99" s="59" t="s">
        <v>18</v>
      </c>
      <c r="B99" s="322">
        <v>0</v>
      </c>
      <c r="C99" s="322">
        <v>0</v>
      </c>
      <c r="D99" s="323">
        <f t="shared" si="67"/>
        <v>0</v>
      </c>
      <c r="E99" s="324" t="s">
        <v>78</v>
      </c>
      <c r="F99" s="10">
        <v>0</v>
      </c>
      <c r="G99" s="10">
        <f t="shared" si="68"/>
        <v>0</v>
      </c>
      <c r="H99" s="324" t="s">
        <v>78</v>
      </c>
      <c r="I99" s="10">
        <v>161</v>
      </c>
      <c r="J99" s="10">
        <f t="shared" si="69"/>
        <v>161</v>
      </c>
      <c r="K99" s="324" t="s">
        <v>78</v>
      </c>
      <c r="L99" s="52">
        <v>266</v>
      </c>
      <c r="M99" s="52">
        <v>105</v>
      </c>
      <c r="N99" s="58">
        <v>0.65217391304347827</v>
      </c>
      <c r="O99" s="52">
        <v>248</v>
      </c>
      <c r="P99" s="52">
        <f t="shared" si="114"/>
        <v>-18</v>
      </c>
      <c r="Q99" s="58">
        <f t="shared" si="95"/>
        <v>-6.7669172932330823E-2</v>
      </c>
      <c r="R99" s="52">
        <v>275</v>
      </c>
      <c r="S99" s="52">
        <f>R99-O99</f>
        <v>27</v>
      </c>
      <c r="T99" s="58">
        <f>S99/O99</f>
        <v>0.10887096774193548</v>
      </c>
      <c r="U99" s="52">
        <v>285</v>
      </c>
      <c r="V99" s="52">
        <f t="shared" si="115"/>
        <v>10</v>
      </c>
      <c r="W99" s="58">
        <f t="shared" si="116"/>
        <v>3.6363636363636362E-2</v>
      </c>
      <c r="X99" s="166">
        <v>398</v>
      </c>
      <c r="Y99" s="52">
        <f t="shared" si="98"/>
        <v>113</v>
      </c>
      <c r="Z99" s="95">
        <f>Y99/U99</f>
        <v>0.39649122807017545</v>
      </c>
      <c r="AA99" s="202">
        <v>404</v>
      </c>
      <c r="AB99" s="172">
        <f t="shared" si="100"/>
        <v>6</v>
      </c>
      <c r="AC99" s="100">
        <f>AB99/X99</f>
        <v>1.507537688442211E-2</v>
      </c>
      <c r="AD99" s="219">
        <v>298</v>
      </c>
      <c r="AE99" s="219"/>
      <c r="AF99" s="52">
        <v>298</v>
      </c>
      <c r="AG99" s="52">
        <f>AF99-AA99</f>
        <v>-106</v>
      </c>
      <c r="AH99" s="58">
        <f t="shared" si="103"/>
        <v>-0.26237623762376239</v>
      </c>
      <c r="AI99" s="65">
        <v>298</v>
      </c>
      <c r="AJ99" s="50">
        <v>298</v>
      </c>
      <c r="AK99" s="220">
        <v>305</v>
      </c>
      <c r="AL99" s="136"/>
      <c r="AM99" s="256">
        <f t="shared" si="104"/>
        <v>305</v>
      </c>
      <c r="AN99" s="257">
        <v>199</v>
      </c>
      <c r="AO99" s="50">
        <v>199</v>
      </c>
      <c r="AP99" s="261">
        <v>0</v>
      </c>
      <c r="AQ99" s="261">
        <v>0</v>
      </c>
      <c r="AR99" s="65">
        <f t="shared" si="117"/>
        <v>0</v>
      </c>
      <c r="AS99" s="78">
        <f t="shared" si="118"/>
        <v>173.09004999999999</v>
      </c>
      <c r="AT99" s="65">
        <f t="shared" si="119"/>
        <v>-124.90995000000001</v>
      </c>
      <c r="AU99" s="99">
        <f t="shared" si="120"/>
        <v>-0.41916090604026851</v>
      </c>
      <c r="AV99" s="65">
        <f>+AS99-AF99</f>
        <v>-124.90995000000001</v>
      </c>
      <c r="AW99" s="99">
        <f>+AV99/AF99</f>
        <v>-0.41916090604026851</v>
      </c>
      <c r="AX99" s="65">
        <v>195</v>
      </c>
      <c r="AY99" s="52">
        <f>AX99-AF99</f>
        <v>-103</v>
      </c>
      <c r="AZ99" s="51">
        <f>AY99/AF99</f>
        <v>-0.34563758389261745</v>
      </c>
      <c r="BA99" s="616">
        <v>195.47585000000001</v>
      </c>
      <c r="BB99" s="616">
        <v>173.09004999999999</v>
      </c>
      <c r="BC99" s="616">
        <f t="shared" si="121"/>
        <v>22.385800000000017</v>
      </c>
      <c r="BD99" s="31">
        <f t="shared" si="122"/>
        <v>0.11451951737260647</v>
      </c>
      <c r="BE99" s="65">
        <v>195</v>
      </c>
      <c r="BF99" s="52">
        <f t="shared" ref="BF99:BF109" si="123">BE99-AX99</f>
        <v>0</v>
      </c>
      <c r="BG99" s="51">
        <f t="shared" si="108"/>
        <v>0</v>
      </c>
      <c r="BH99" s="65"/>
      <c r="BI99" s="65"/>
      <c r="BJ99" s="65"/>
      <c r="BK99" s="65"/>
      <c r="BL99" s="39">
        <f t="shared" si="90"/>
        <v>195</v>
      </c>
      <c r="BM99" s="39">
        <f t="shared" si="109"/>
        <v>21.909950000000009</v>
      </c>
      <c r="BN99" s="39">
        <v>199</v>
      </c>
      <c r="BO99" s="534">
        <v>449</v>
      </c>
      <c r="BP99" s="39">
        <f t="shared" si="86"/>
        <v>254</v>
      </c>
      <c r="BQ99" s="51">
        <f t="shared" si="110"/>
        <v>0.12658122173978234</v>
      </c>
      <c r="BR99" s="99">
        <f t="shared" si="87"/>
        <v>1.3025641025641026</v>
      </c>
      <c r="BS99" s="39">
        <v>38</v>
      </c>
      <c r="BV99">
        <v>12</v>
      </c>
      <c r="BW99" s="280">
        <f t="shared" si="111"/>
        <v>249</v>
      </c>
      <c r="BX99" s="39">
        <f t="shared" si="112"/>
        <v>54</v>
      </c>
      <c r="BY99" s="51">
        <f t="shared" si="113"/>
        <v>0.27692307692307694</v>
      </c>
    </row>
    <row r="100" spans="1:77" ht="18" customHeight="1">
      <c r="A100" s="59" t="s">
        <v>173</v>
      </c>
      <c r="B100" s="325" t="s">
        <v>78</v>
      </c>
      <c r="C100" s="325" t="s">
        <v>78</v>
      </c>
      <c r="D100" s="325" t="s">
        <v>78</v>
      </c>
      <c r="E100" s="324" t="s">
        <v>78</v>
      </c>
      <c r="F100" s="325" t="s">
        <v>78</v>
      </c>
      <c r="G100" s="325" t="s">
        <v>78</v>
      </c>
      <c r="H100" s="324" t="s">
        <v>78</v>
      </c>
      <c r="I100" s="325" t="s">
        <v>78</v>
      </c>
      <c r="J100" s="325" t="s">
        <v>78</v>
      </c>
      <c r="K100" s="324" t="s">
        <v>78</v>
      </c>
      <c r="L100" s="52">
        <v>754</v>
      </c>
      <c r="M100" s="52">
        <v>754</v>
      </c>
      <c r="N100" s="60" t="s">
        <v>78</v>
      </c>
      <c r="O100" s="52">
        <v>730</v>
      </c>
      <c r="P100" s="69">
        <f t="shared" si="114"/>
        <v>-24</v>
      </c>
      <c r="Q100" s="58">
        <f t="shared" si="95"/>
        <v>-3.1830238726790451E-2</v>
      </c>
      <c r="R100" s="52">
        <v>516</v>
      </c>
      <c r="S100" s="52">
        <f>R100-O100</f>
        <v>-214</v>
      </c>
      <c r="T100" s="58">
        <f>S100/O100</f>
        <v>-0.29315068493150687</v>
      </c>
      <c r="U100" s="52">
        <v>811</v>
      </c>
      <c r="V100" s="52">
        <f t="shared" si="115"/>
        <v>295</v>
      </c>
      <c r="W100" s="58">
        <f t="shared" si="116"/>
        <v>0.57170542635658916</v>
      </c>
      <c r="X100" s="166">
        <v>1475</v>
      </c>
      <c r="Y100" s="52">
        <f t="shared" si="98"/>
        <v>664</v>
      </c>
      <c r="Z100" s="95">
        <f>Y100/U100</f>
        <v>0.81874229346485816</v>
      </c>
      <c r="AA100" s="202">
        <v>1323</v>
      </c>
      <c r="AB100" s="172">
        <f t="shared" si="100"/>
        <v>-152</v>
      </c>
      <c r="AC100" s="100">
        <f>AB100/X100</f>
        <v>-0.10305084745762712</v>
      </c>
      <c r="AD100" s="65">
        <v>1249</v>
      </c>
      <c r="AE100" s="65"/>
      <c r="AF100" s="52">
        <v>1293</v>
      </c>
      <c r="AG100" s="52">
        <f t="shared" si="102"/>
        <v>-30</v>
      </c>
      <c r="AH100" s="58">
        <f t="shared" si="103"/>
        <v>-2.2675736961451247E-2</v>
      </c>
      <c r="AI100" s="65">
        <v>1249</v>
      </c>
      <c r="AJ100" s="50">
        <v>1249</v>
      </c>
      <c r="AK100" s="220">
        <v>1273</v>
      </c>
      <c r="AL100" s="136"/>
      <c r="AM100" s="256">
        <f t="shared" si="104"/>
        <v>1273</v>
      </c>
      <c r="AN100" s="257">
        <v>1624</v>
      </c>
      <c r="AO100" s="50">
        <v>1624</v>
      </c>
      <c r="AP100" s="261">
        <v>0</v>
      </c>
      <c r="AQ100" s="261">
        <v>0</v>
      </c>
      <c r="AR100" s="65">
        <f t="shared" si="117"/>
        <v>0</v>
      </c>
      <c r="AS100" s="78">
        <f t="shared" si="118"/>
        <v>1190.7141999999999</v>
      </c>
      <c r="AT100" s="65">
        <f t="shared" si="119"/>
        <v>-102.28580000000011</v>
      </c>
      <c r="AU100" s="99">
        <f t="shared" si="120"/>
        <v>-7.9107347254447111E-2</v>
      </c>
      <c r="AV100" s="65">
        <f t="shared" si="105"/>
        <v>-102.28580000000011</v>
      </c>
      <c r="AW100" s="99">
        <f t="shared" si="106"/>
        <v>-7.9107347254447111E-2</v>
      </c>
      <c r="AX100" s="65">
        <v>1601</v>
      </c>
      <c r="AY100" s="52">
        <f t="shared" si="88"/>
        <v>308</v>
      </c>
      <c r="AZ100" s="51">
        <f t="shared" si="89"/>
        <v>0.23820572312451663</v>
      </c>
      <c r="BA100" s="616">
        <v>1600.7615699999999</v>
      </c>
      <c r="BB100" s="616">
        <v>1190.7141999999999</v>
      </c>
      <c r="BC100" s="616">
        <f t="shared" si="121"/>
        <v>410.04737</v>
      </c>
      <c r="BD100" s="31">
        <f t="shared" si="122"/>
        <v>0.25615767999727779</v>
      </c>
      <c r="BE100" s="65">
        <v>1551</v>
      </c>
      <c r="BF100" s="52">
        <f t="shared" si="123"/>
        <v>-50</v>
      </c>
      <c r="BG100" s="51">
        <f t="shared" si="108"/>
        <v>-3.1230480949406621E-2</v>
      </c>
      <c r="BH100" s="65"/>
      <c r="BI100" s="65"/>
      <c r="BJ100" s="65"/>
      <c r="BK100" s="65"/>
      <c r="BL100" s="39">
        <f t="shared" si="90"/>
        <v>1551</v>
      </c>
      <c r="BM100" s="39">
        <f t="shared" si="109"/>
        <v>360.28580000000011</v>
      </c>
      <c r="BN100" s="39">
        <v>0</v>
      </c>
      <c r="BO100" s="534"/>
      <c r="BP100" s="39">
        <f t="shared" si="86"/>
        <v>-1551</v>
      </c>
      <c r="BQ100" s="51">
        <f t="shared" si="110"/>
        <v>0.30257957787015571</v>
      </c>
      <c r="BR100" s="99">
        <f t="shared" si="87"/>
        <v>-1</v>
      </c>
      <c r="BV100"/>
      <c r="BW100" s="280">
        <f t="shared" si="111"/>
        <v>0</v>
      </c>
      <c r="BX100" s="39">
        <f t="shared" si="112"/>
        <v>-1551</v>
      </c>
      <c r="BY100" s="51">
        <f t="shared" si="113"/>
        <v>-1</v>
      </c>
    </row>
    <row r="101" spans="1:77" ht="18" customHeight="1">
      <c r="A101" s="59" t="s">
        <v>175</v>
      </c>
      <c r="B101" s="325" t="s">
        <v>78</v>
      </c>
      <c r="C101" s="325" t="s">
        <v>78</v>
      </c>
      <c r="D101" s="325" t="s">
        <v>78</v>
      </c>
      <c r="E101" s="324" t="s">
        <v>78</v>
      </c>
      <c r="F101" s="325" t="s">
        <v>78</v>
      </c>
      <c r="G101" s="325" t="s">
        <v>78</v>
      </c>
      <c r="H101" s="324" t="s">
        <v>78</v>
      </c>
      <c r="I101" s="325" t="s">
        <v>78</v>
      </c>
      <c r="J101" s="325" t="s">
        <v>78</v>
      </c>
      <c r="K101" s="324" t="s">
        <v>78</v>
      </c>
      <c r="L101" s="52">
        <v>734</v>
      </c>
      <c r="M101" s="52">
        <v>734</v>
      </c>
      <c r="N101" s="60" t="s">
        <v>78</v>
      </c>
      <c r="O101" s="66">
        <v>0</v>
      </c>
      <c r="P101" s="69">
        <f t="shared" si="114"/>
        <v>-734</v>
      </c>
      <c r="Q101" s="58">
        <f t="shared" si="95"/>
        <v>-1</v>
      </c>
      <c r="R101" s="52">
        <v>0</v>
      </c>
      <c r="S101" s="52">
        <f>R101-O101</f>
        <v>0</v>
      </c>
      <c r="T101" s="60" t="s">
        <v>78</v>
      </c>
      <c r="U101" s="52">
        <v>0</v>
      </c>
      <c r="V101" s="52">
        <f t="shared" si="115"/>
        <v>0</v>
      </c>
      <c r="W101" s="60" t="s">
        <v>78</v>
      </c>
      <c r="Y101" s="52">
        <f t="shared" si="98"/>
        <v>0</v>
      </c>
      <c r="AB101" s="172">
        <f t="shared" si="100"/>
        <v>0</v>
      </c>
      <c r="AD101" s="219">
        <v>0</v>
      </c>
      <c r="AE101" s="219"/>
      <c r="AG101" s="52">
        <f t="shared" si="102"/>
        <v>0</v>
      </c>
      <c r="AH101" s="58" t="e">
        <f t="shared" si="103"/>
        <v>#DIV/0!</v>
      </c>
      <c r="AI101" s="65">
        <v>0</v>
      </c>
      <c r="AJ101" s="50">
        <v>0</v>
      </c>
      <c r="AL101" s="136"/>
      <c r="AM101" s="256">
        <f t="shared" si="104"/>
        <v>0</v>
      </c>
      <c r="AP101" s="65"/>
      <c r="AQ101" s="65"/>
      <c r="AR101" s="65">
        <f t="shared" si="117"/>
        <v>0</v>
      </c>
      <c r="AS101" s="78">
        <f t="shared" si="118"/>
        <v>0</v>
      </c>
      <c r="AT101" s="65">
        <f t="shared" si="119"/>
        <v>0</v>
      </c>
      <c r="AU101" s="99" t="e">
        <f t="shared" si="120"/>
        <v>#DIV/0!</v>
      </c>
      <c r="AV101" s="65">
        <f t="shared" si="105"/>
        <v>0</v>
      </c>
      <c r="AW101" s="99" t="e">
        <f t="shared" si="106"/>
        <v>#DIV/0!</v>
      </c>
      <c r="AX101" s="65"/>
      <c r="AY101" s="52">
        <f t="shared" si="88"/>
        <v>0</v>
      </c>
      <c r="AZ101" s="51" t="e">
        <f t="shared" si="89"/>
        <v>#DIV/0!</v>
      </c>
      <c r="BA101" s="51"/>
      <c r="BB101" s="51"/>
      <c r="BC101" s="616">
        <f t="shared" si="121"/>
        <v>0</v>
      </c>
      <c r="BD101" s="31"/>
      <c r="BE101" s="65"/>
      <c r="BF101" s="52">
        <f t="shared" si="123"/>
        <v>0</v>
      </c>
      <c r="BG101" s="51" t="e">
        <f t="shared" si="108"/>
        <v>#DIV/0!</v>
      </c>
      <c r="BH101" s="65"/>
      <c r="BI101" s="65"/>
      <c r="BJ101" s="65"/>
      <c r="BK101" s="65"/>
      <c r="BL101" s="39">
        <f t="shared" si="90"/>
        <v>0</v>
      </c>
      <c r="BM101" s="39">
        <f t="shared" si="109"/>
        <v>0</v>
      </c>
      <c r="BN101" s="39"/>
      <c r="BO101" s="534"/>
      <c r="BP101" s="39">
        <f t="shared" si="86"/>
        <v>0</v>
      </c>
      <c r="BQ101" s="51" t="e">
        <f t="shared" si="110"/>
        <v>#DIV/0!</v>
      </c>
      <c r="BR101" s="99" t="e">
        <f t="shared" si="87"/>
        <v>#DIV/0!</v>
      </c>
      <c r="BV101"/>
      <c r="BW101" s="280">
        <f t="shared" si="111"/>
        <v>0</v>
      </c>
      <c r="BX101" s="39">
        <f t="shared" si="112"/>
        <v>0</v>
      </c>
      <c r="BY101" s="51" t="e">
        <f t="shared" si="113"/>
        <v>#DIV/0!</v>
      </c>
    </row>
    <row r="102" spans="1:77" ht="18" customHeight="1">
      <c r="A102" s="59" t="s">
        <v>112</v>
      </c>
      <c r="B102" s="330" t="s">
        <v>78</v>
      </c>
      <c r="C102" s="330" t="s">
        <v>78</v>
      </c>
      <c r="D102" s="325" t="s">
        <v>78</v>
      </c>
      <c r="E102" s="324" t="s">
        <v>78</v>
      </c>
      <c r="F102" s="325" t="s">
        <v>78</v>
      </c>
      <c r="G102" s="325" t="s">
        <v>78</v>
      </c>
      <c r="H102" s="324" t="s">
        <v>78</v>
      </c>
      <c r="I102" s="325" t="s">
        <v>78</v>
      </c>
      <c r="J102" s="325" t="s">
        <v>78</v>
      </c>
      <c r="K102" s="324" t="s">
        <v>78</v>
      </c>
      <c r="L102" s="52">
        <v>0</v>
      </c>
      <c r="M102" s="52">
        <v>0</v>
      </c>
      <c r="N102" s="60" t="s">
        <v>78</v>
      </c>
      <c r="O102" s="66">
        <v>0</v>
      </c>
      <c r="P102" s="69">
        <f t="shared" si="114"/>
        <v>0</v>
      </c>
      <c r="Q102" s="60" t="s">
        <v>78</v>
      </c>
      <c r="R102" s="52">
        <v>0</v>
      </c>
      <c r="S102" s="52">
        <f t="shared" si="96"/>
        <v>0</v>
      </c>
      <c r="T102" s="60" t="s">
        <v>78</v>
      </c>
      <c r="U102" s="52">
        <v>0</v>
      </c>
      <c r="V102" s="52">
        <f t="shared" si="115"/>
        <v>0</v>
      </c>
      <c r="W102" s="60" t="s">
        <v>78</v>
      </c>
      <c r="X102" s="166">
        <v>0</v>
      </c>
      <c r="Y102" s="52">
        <v>0</v>
      </c>
      <c r="AA102" s="202">
        <v>0</v>
      </c>
      <c r="AB102" s="172">
        <f t="shared" si="100"/>
        <v>0</v>
      </c>
      <c r="AC102" s="100" t="e">
        <f>AB102/X102</f>
        <v>#DIV/0!</v>
      </c>
      <c r="AD102" s="65">
        <v>3065</v>
      </c>
      <c r="AE102" s="65">
        <v>8025</v>
      </c>
      <c r="AF102" s="52">
        <v>0</v>
      </c>
      <c r="AG102" s="52">
        <f t="shared" si="102"/>
        <v>0</v>
      </c>
      <c r="AH102" s="58" t="e">
        <f t="shared" si="103"/>
        <v>#DIV/0!</v>
      </c>
      <c r="AI102" s="65">
        <v>3065</v>
      </c>
      <c r="AJ102" s="50">
        <v>11090</v>
      </c>
      <c r="AK102" s="220">
        <v>3131</v>
      </c>
      <c r="AL102" s="136"/>
      <c r="AM102" s="256">
        <f t="shared" si="104"/>
        <v>3131</v>
      </c>
      <c r="AN102" s="257">
        <v>2643</v>
      </c>
      <c r="AO102" s="50">
        <v>9777</v>
      </c>
      <c r="AP102" s="261">
        <v>0</v>
      </c>
      <c r="AQ102" s="261">
        <v>0</v>
      </c>
      <c r="AR102" s="65">
        <f t="shared" si="117"/>
        <v>0</v>
      </c>
      <c r="AS102" s="78">
        <f t="shared" si="118"/>
        <v>5402.3288599999996</v>
      </c>
      <c r="AT102" s="65">
        <f t="shared" si="119"/>
        <v>5402.3288599999996</v>
      </c>
      <c r="AU102" s="99" t="e">
        <f t="shared" si="120"/>
        <v>#DIV/0!</v>
      </c>
      <c r="AV102" s="65">
        <f t="shared" si="105"/>
        <v>5402.3288599999996</v>
      </c>
      <c r="AW102" s="99" t="e">
        <f t="shared" si="106"/>
        <v>#DIV/0!</v>
      </c>
      <c r="AX102" s="65">
        <v>0</v>
      </c>
      <c r="AY102" s="52">
        <f t="shared" si="88"/>
        <v>0</v>
      </c>
      <c r="AZ102" s="51" t="e">
        <f t="shared" si="89"/>
        <v>#DIV/0!</v>
      </c>
      <c r="BA102" s="616">
        <f>2426.65254+4947.90583</f>
        <v>7374.5583699999997</v>
      </c>
      <c r="BB102" s="616">
        <f>2401.94226+3000.3866</f>
        <v>5402.3288599999996</v>
      </c>
      <c r="BC102" s="616">
        <f t="shared" si="121"/>
        <v>1972.2295100000001</v>
      </c>
      <c r="BD102" s="31">
        <f t="shared" si="122"/>
        <v>0.26743696517788906</v>
      </c>
      <c r="BE102" s="65">
        <v>0</v>
      </c>
      <c r="BF102" s="52">
        <f t="shared" si="123"/>
        <v>0</v>
      </c>
      <c r="BG102" s="51" t="e">
        <f t="shared" si="108"/>
        <v>#DIV/0!</v>
      </c>
      <c r="BH102" s="65"/>
      <c r="BI102" s="65"/>
      <c r="BJ102" s="65"/>
      <c r="BK102" s="65"/>
      <c r="BL102" s="39">
        <f t="shared" si="90"/>
        <v>0</v>
      </c>
      <c r="BM102" s="39">
        <f t="shared" si="109"/>
        <v>-5402.3288599999996</v>
      </c>
      <c r="BN102" s="39"/>
      <c r="BO102" s="534"/>
      <c r="BP102" s="39">
        <f t="shared" si="86"/>
        <v>0</v>
      </c>
      <c r="BQ102" s="51">
        <f t="shared" si="110"/>
        <v>-1</v>
      </c>
      <c r="BR102" s="99" t="e">
        <f t="shared" si="87"/>
        <v>#DIV/0!</v>
      </c>
      <c r="BV102">
        <v>5</v>
      </c>
      <c r="BW102" s="280">
        <f t="shared" si="111"/>
        <v>5</v>
      </c>
      <c r="BX102" s="39">
        <f t="shared" si="112"/>
        <v>5</v>
      </c>
      <c r="BY102" s="51" t="e">
        <f t="shared" si="113"/>
        <v>#DIV/0!</v>
      </c>
    </row>
    <row r="103" spans="1:77" ht="18" customHeight="1">
      <c r="A103" s="59" t="s">
        <v>113</v>
      </c>
      <c r="B103" s="330" t="s">
        <v>78</v>
      </c>
      <c r="C103" s="330" t="s">
        <v>78</v>
      </c>
      <c r="D103" s="325" t="s">
        <v>78</v>
      </c>
      <c r="E103" s="324" t="s">
        <v>78</v>
      </c>
      <c r="F103" s="325" t="s">
        <v>78</v>
      </c>
      <c r="G103" s="325" t="s">
        <v>78</v>
      </c>
      <c r="H103" s="324" t="s">
        <v>78</v>
      </c>
      <c r="I103" s="325" t="s">
        <v>78</v>
      </c>
      <c r="J103" s="325" t="s">
        <v>78</v>
      </c>
      <c r="K103" s="324" t="s">
        <v>78</v>
      </c>
      <c r="L103" s="52">
        <v>0</v>
      </c>
      <c r="M103" s="52">
        <v>0</v>
      </c>
      <c r="N103" s="60" t="s">
        <v>78</v>
      </c>
      <c r="O103" s="66">
        <v>0</v>
      </c>
      <c r="P103" s="69">
        <f t="shared" si="114"/>
        <v>0</v>
      </c>
      <c r="Q103" s="60" t="s">
        <v>78</v>
      </c>
      <c r="R103" s="52">
        <v>0</v>
      </c>
      <c r="S103" s="52">
        <f t="shared" si="96"/>
        <v>0</v>
      </c>
      <c r="T103" s="60" t="s">
        <v>78</v>
      </c>
      <c r="U103" s="52">
        <v>0</v>
      </c>
      <c r="V103" s="52">
        <f t="shared" si="115"/>
        <v>0</v>
      </c>
      <c r="W103" s="60" t="s">
        <v>78</v>
      </c>
      <c r="X103" s="166">
        <v>0</v>
      </c>
      <c r="Y103" s="52">
        <f t="shared" si="98"/>
        <v>0</v>
      </c>
      <c r="AA103" s="202">
        <v>0</v>
      </c>
      <c r="AB103" s="172">
        <f t="shared" si="100"/>
        <v>0</v>
      </c>
      <c r="AC103" s="100" t="e">
        <f>AB103/X103</f>
        <v>#DIV/0!</v>
      </c>
      <c r="AD103" s="219">
        <v>395</v>
      </c>
      <c r="AE103" s="219"/>
      <c r="AF103" s="52">
        <v>0</v>
      </c>
      <c r="AG103" s="52">
        <f t="shared" si="102"/>
        <v>0</v>
      </c>
      <c r="AH103" s="58" t="e">
        <f t="shared" si="103"/>
        <v>#DIV/0!</v>
      </c>
      <c r="AI103" s="65">
        <v>395</v>
      </c>
      <c r="AJ103" s="50">
        <v>395</v>
      </c>
      <c r="AK103" s="220">
        <v>76</v>
      </c>
      <c r="AL103" s="136">
        <v>320</v>
      </c>
      <c r="AM103" s="256">
        <f t="shared" si="104"/>
        <v>396</v>
      </c>
      <c r="AN103" s="257">
        <v>72</v>
      </c>
      <c r="AO103" s="50">
        <v>72</v>
      </c>
      <c r="AP103" s="261">
        <v>6</v>
      </c>
      <c r="AQ103" s="261">
        <v>1</v>
      </c>
      <c r="AR103" s="65">
        <f t="shared" si="117"/>
        <v>7</v>
      </c>
      <c r="AS103" s="78">
        <f t="shared" si="118"/>
        <v>55.515050000000002</v>
      </c>
      <c r="AT103" s="65">
        <f t="shared" si="119"/>
        <v>55.515050000000002</v>
      </c>
      <c r="AU103" s="99" t="e">
        <f t="shared" si="120"/>
        <v>#DIV/0!</v>
      </c>
      <c r="AV103" s="65">
        <f t="shared" si="105"/>
        <v>55.515050000000002</v>
      </c>
      <c r="AW103" s="99" t="e">
        <f t="shared" si="106"/>
        <v>#DIV/0!</v>
      </c>
      <c r="AX103" s="65">
        <v>0</v>
      </c>
      <c r="AY103" s="52">
        <f t="shared" si="88"/>
        <v>0</v>
      </c>
      <c r="AZ103" s="51" t="e">
        <f t="shared" si="89"/>
        <v>#DIV/0!</v>
      </c>
      <c r="BA103" s="616">
        <v>320.01812999999999</v>
      </c>
      <c r="BB103" s="616">
        <v>48.515050000000002</v>
      </c>
      <c r="BC103" s="616">
        <f t="shared" si="121"/>
        <v>271.50307999999995</v>
      </c>
      <c r="BD103" s="31">
        <f t="shared" si="122"/>
        <v>0.84839905789087622</v>
      </c>
      <c r="BE103" s="65">
        <v>0</v>
      </c>
      <c r="BF103" s="52">
        <f t="shared" si="123"/>
        <v>0</v>
      </c>
      <c r="BG103" s="51" t="e">
        <f t="shared" si="108"/>
        <v>#DIV/0!</v>
      </c>
      <c r="BH103" s="65"/>
      <c r="BI103" s="65"/>
      <c r="BJ103" s="65"/>
      <c r="BK103" s="65"/>
      <c r="BL103" s="39">
        <f t="shared" si="90"/>
        <v>0</v>
      </c>
      <c r="BM103" s="39">
        <f t="shared" si="109"/>
        <v>-55.515050000000002</v>
      </c>
      <c r="BN103" s="39"/>
      <c r="BO103" s="534"/>
      <c r="BP103" s="39">
        <f t="shared" si="86"/>
        <v>0</v>
      </c>
      <c r="BQ103" s="51">
        <f t="shared" si="110"/>
        <v>-1</v>
      </c>
      <c r="BR103" s="99" t="e">
        <f t="shared" si="87"/>
        <v>#DIV/0!</v>
      </c>
      <c r="BV103">
        <v>9</v>
      </c>
      <c r="BW103" s="280">
        <f t="shared" si="111"/>
        <v>9</v>
      </c>
      <c r="BX103" s="39">
        <f t="shared" si="112"/>
        <v>9</v>
      </c>
      <c r="BY103" s="51" t="e">
        <f t="shared" si="113"/>
        <v>#DIV/0!</v>
      </c>
    </row>
    <row r="104" spans="1:77" s="53" customFormat="1" ht="18" customHeight="1">
      <c r="A104" s="53" t="s">
        <v>121</v>
      </c>
      <c r="B104" s="340" t="s">
        <v>78</v>
      </c>
      <c r="C104" s="340" t="s">
        <v>78</v>
      </c>
      <c r="D104" s="593" t="s">
        <v>78</v>
      </c>
      <c r="E104" s="587" t="s">
        <v>78</v>
      </c>
      <c r="F104" s="593" t="s">
        <v>78</v>
      </c>
      <c r="G104" s="593" t="s">
        <v>78</v>
      </c>
      <c r="H104" s="587" t="s">
        <v>78</v>
      </c>
      <c r="I104" s="593" t="s">
        <v>78</v>
      </c>
      <c r="J104" s="593" t="s">
        <v>78</v>
      </c>
      <c r="K104" s="587" t="s">
        <v>78</v>
      </c>
      <c r="L104" s="24">
        <v>0</v>
      </c>
      <c r="M104" s="155">
        <v>0</v>
      </c>
      <c r="N104" s="37" t="s">
        <v>78</v>
      </c>
      <c r="O104" s="155">
        <v>24242</v>
      </c>
      <c r="P104" s="155">
        <f t="shared" si="114"/>
        <v>24242</v>
      </c>
      <c r="Q104" s="37" t="s">
        <v>78</v>
      </c>
      <c r="R104" s="155">
        <v>28547</v>
      </c>
      <c r="S104" s="155">
        <f t="shared" si="96"/>
        <v>4305</v>
      </c>
      <c r="T104" s="594">
        <f>S104/O104</f>
        <v>0.17758435772626022</v>
      </c>
      <c r="U104" s="155">
        <v>32063</v>
      </c>
      <c r="V104" s="155">
        <f t="shared" si="115"/>
        <v>3516</v>
      </c>
      <c r="W104" s="594">
        <f t="shared" si="116"/>
        <v>0.12316530633691807</v>
      </c>
      <c r="X104" s="176">
        <v>40578</v>
      </c>
      <c r="Y104" s="62">
        <f t="shared" si="98"/>
        <v>8515</v>
      </c>
      <c r="Z104" s="95">
        <f>Y104/U104</f>
        <v>0.26557090727629978</v>
      </c>
      <c r="AA104" s="205">
        <v>47124</v>
      </c>
      <c r="AB104" s="598">
        <f t="shared" si="100"/>
        <v>6546</v>
      </c>
      <c r="AC104" s="599">
        <f>AB104/X104</f>
        <v>0.16131894129824043</v>
      </c>
      <c r="AD104" s="520">
        <v>29873</v>
      </c>
      <c r="AE104" s="520">
        <v>11038</v>
      </c>
      <c r="AF104" s="62">
        <f>31003+6900</f>
        <v>37903</v>
      </c>
      <c r="AG104" s="62">
        <f t="shared" si="102"/>
        <v>-9221</v>
      </c>
      <c r="AH104" s="241">
        <f t="shared" si="103"/>
        <v>-0.19567523979288684</v>
      </c>
      <c r="AI104" s="520">
        <f>29873-1000</f>
        <v>28873</v>
      </c>
      <c r="AJ104" s="53">
        <f>40911-1000</f>
        <v>39911</v>
      </c>
      <c r="AK104" s="53">
        <v>33477</v>
      </c>
      <c r="AL104" s="136"/>
      <c r="AM104" s="202">
        <f t="shared" si="104"/>
        <v>33477</v>
      </c>
      <c r="AN104" s="53">
        <v>24758</v>
      </c>
      <c r="AO104" s="79">
        <v>51331</v>
      </c>
      <c r="AP104" s="270">
        <v>5427</v>
      </c>
      <c r="AQ104" s="270">
        <v>293</v>
      </c>
      <c r="AR104" s="78">
        <f t="shared" si="117"/>
        <v>5720</v>
      </c>
      <c r="AS104" s="78">
        <f t="shared" si="118"/>
        <v>46191.857759999999</v>
      </c>
      <c r="AT104" s="78">
        <f t="shared" si="119"/>
        <v>8288.857759999999</v>
      </c>
      <c r="AU104" s="260">
        <f t="shared" si="120"/>
        <v>0.21868606073397881</v>
      </c>
      <c r="AV104" s="520">
        <f t="shared" si="105"/>
        <v>8288.857759999999</v>
      </c>
      <c r="AW104" s="600">
        <f t="shared" si="106"/>
        <v>0.21868606073397881</v>
      </c>
      <c r="AX104" s="520">
        <f>45558</f>
        <v>45558</v>
      </c>
      <c r="AY104" s="62">
        <f t="shared" si="88"/>
        <v>7655</v>
      </c>
      <c r="AZ104" s="579">
        <f t="shared" si="89"/>
        <v>0.20196290531092526</v>
      </c>
      <c r="BA104" s="616">
        <f>26686.13797+18871.98632</f>
        <v>45558.12429</v>
      </c>
      <c r="BB104" s="616">
        <f>26684.86363+13786.99413</f>
        <v>40471.857759999999</v>
      </c>
      <c r="BC104" s="616">
        <f t="shared" si="121"/>
        <v>5086.2665300000008</v>
      </c>
      <c r="BD104" s="31">
        <f t="shared" si="122"/>
        <v>0.1116434578742399</v>
      </c>
      <c r="BE104" s="520">
        <f>26536+12028</f>
        <v>38564</v>
      </c>
      <c r="BF104" s="62">
        <f t="shared" si="123"/>
        <v>-6994</v>
      </c>
      <c r="BG104" s="579">
        <f t="shared" si="108"/>
        <v>-0.1535185916853242</v>
      </c>
      <c r="BH104" s="78">
        <v>5749</v>
      </c>
      <c r="BI104" s="78"/>
      <c r="BJ104" s="78"/>
      <c r="BK104" s="78"/>
      <c r="BL104" s="487">
        <f t="shared" si="90"/>
        <v>44313</v>
      </c>
      <c r="BM104" s="487">
        <f t="shared" si="109"/>
        <v>-1878.857759999999</v>
      </c>
      <c r="BN104" s="487">
        <v>43746</v>
      </c>
      <c r="BO104" s="595">
        <v>43540</v>
      </c>
      <c r="BP104" s="39">
        <f t="shared" si="86"/>
        <v>4976</v>
      </c>
      <c r="BQ104" s="579">
        <f t="shared" si="110"/>
        <v>-4.0675085417911087E-2</v>
      </c>
      <c r="BR104" s="99">
        <f t="shared" si="87"/>
        <v>0.12903225806451613</v>
      </c>
      <c r="BS104" s="646">
        <v>5698</v>
      </c>
      <c r="BV104">
        <v>6</v>
      </c>
      <c r="BW104" s="280">
        <f t="shared" si="111"/>
        <v>49450</v>
      </c>
      <c r="BX104" s="39">
        <f t="shared" si="112"/>
        <v>5137</v>
      </c>
      <c r="BY104" s="51">
        <f t="shared" si="113"/>
        <v>0.11592534922031909</v>
      </c>
    </row>
    <row r="105" spans="1:77" ht="18" customHeight="1">
      <c r="A105" s="63" t="s">
        <v>147</v>
      </c>
      <c r="B105" s="330" t="s">
        <v>78</v>
      </c>
      <c r="C105" s="330" t="s">
        <v>78</v>
      </c>
      <c r="D105" s="325" t="s">
        <v>78</v>
      </c>
      <c r="E105" s="324" t="s">
        <v>78</v>
      </c>
      <c r="F105" s="325" t="s">
        <v>78</v>
      </c>
      <c r="G105" s="325" t="s">
        <v>78</v>
      </c>
      <c r="H105" s="324" t="s">
        <v>78</v>
      </c>
      <c r="I105" s="325" t="s">
        <v>78</v>
      </c>
      <c r="J105" s="325" t="s">
        <v>78</v>
      </c>
      <c r="K105" s="324" t="s">
        <v>78</v>
      </c>
      <c r="L105" s="81"/>
      <c r="M105" s="69"/>
      <c r="N105" s="70"/>
      <c r="O105" s="69"/>
      <c r="P105" s="69"/>
      <c r="Q105" s="70"/>
      <c r="R105" s="69"/>
      <c r="S105" s="69"/>
      <c r="T105" s="72"/>
      <c r="U105" s="69"/>
      <c r="V105" s="69"/>
      <c r="W105" s="72"/>
      <c r="X105" s="166">
        <v>0</v>
      </c>
      <c r="Y105" s="52">
        <f t="shared" si="98"/>
        <v>0</v>
      </c>
      <c r="AA105" s="204">
        <v>0</v>
      </c>
      <c r="AB105" s="172">
        <f t="shared" si="100"/>
        <v>0</v>
      </c>
      <c r="AC105" s="70" t="s">
        <v>78</v>
      </c>
      <c r="AD105" s="65">
        <v>225</v>
      </c>
      <c r="AE105" s="65">
        <v>525</v>
      </c>
      <c r="AF105" s="52">
        <v>0</v>
      </c>
      <c r="AG105" s="52">
        <f t="shared" si="102"/>
        <v>0</v>
      </c>
      <c r="AH105" s="58" t="e">
        <f t="shared" si="103"/>
        <v>#DIV/0!</v>
      </c>
      <c r="AI105" s="65">
        <f>225-225</f>
        <v>0</v>
      </c>
      <c r="AJ105" s="50">
        <f>750-225</f>
        <v>525</v>
      </c>
      <c r="AL105" s="136">
        <v>225</v>
      </c>
      <c r="AM105" s="256">
        <f t="shared" si="104"/>
        <v>225</v>
      </c>
      <c r="AN105" s="258">
        <v>0</v>
      </c>
      <c r="AO105" s="253">
        <v>0</v>
      </c>
      <c r="AP105" s="270">
        <v>0</v>
      </c>
      <c r="AQ105" s="270">
        <v>0</v>
      </c>
      <c r="AR105" s="65">
        <f t="shared" si="117"/>
        <v>0</v>
      </c>
      <c r="AS105" s="78">
        <f t="shared" si="118"/>
        <v>0</v>
      </c>
      <c r="AT105" s="65">
        <f t="shared" si="119"/>
        <v>0</v>
      </c>
      <c r="AU105" s="99" t="e">
        <f t="shared" si="120"/>
        <v>#DIV/0!</v>
      </c>
      <c r="AV105" s="246">
        <f t="shared" si="105"/>
        <v>0</v>
      </c>
      <c r="AW105" s="99" t="e">
        <f t="shared" si="106"/>
        <v>#DIV/0!</v>
      </c>
      <c r="AX105" s="65">
        <v>0</v>
      </c>
      <c r="AY105" s="52">
        <f t="shared" si="88"/>
        <v>0</v>
      </c>
      <c r="AZ105" s="51" t="e">
        <f t="shared" si="89"/>
        <v>#DIV/0!</v>
      </c>
      <c r="BA105" s="280">
        <v>250</v>
      </c>
      <c r="BB105" s="51"/>
      <c r="BC105" s="616">
        <f t="shared" si="121"/>
        <v>250</v>
      </c>
      <c r="BD105" s="31">
        <f t="shared" si="122"/>
        <v>1</v>
      </c>
      <c r="BE105" s="65">
        <v>0</v>
      </c>
      <c r="BF105" s="52">
        <f t="shared" si="123"/>
        <v>0</v>
      </c>
      <c r="BG105" s="51" t="e">
        <f t="shared" si="108"/>
        <v>#DIV/0!</v>
      </c>
      <c r="BH105" s="65"/>
      <c r="BI105" s="65"/>
      <c r="BJ105" s="65"/>
      <c r="BK105" s="65"/>
      <c r="BL105" s="39">
        <f t="shared" si="90"/>
        <v>0</v>
      </c>
      <c r="BM105" s="39">
        <f t="shared" si="109"/>
        <v>0</v>
      </c>
      <c r="BN105" s="39"/>
      <c r="BO105" s="534"/>
      <c r="BP105" s="39">
        <f t="shared" si="86"/>
        <v>0</v>
      </c>
      <c r="BQ105" s="51" t="e">
        <f t="shared" si="110"/>
        <v>#DIV/0!</v>
      </c>
      <c r="BR105" s="99" t="e">
        <f t="shared" si="87"/>
        <v>#DIV/0!</v>
      </c>
      <c r="BV105"/>
      <c r="BW105" s="280">
        <f t="shared" si="111"/>
        <v>0</v>
      </c>
      <c r="BX105" s="39">
        <f t="shared" si="112"/>
        <v>0</v>
      </c>
      <c r="BY105" s="51" t="e">
        <f t="shared" si="113"/>
        <v>#DIV/0!</v>
      </c>
    </row>
    <row r="106" spans="1:77" ht="18" customHeight="1">
      <c r="A106" s="245" t="s">
        <v>411</v>
      </c>
      <c r="B106" s="330" t="s">
        <v>78</v>
      </c>
      <c r="C106" s="330" t="s">
        <v>78</v>
      </c>
      <c r="D106" s="325" t="s">
        <v>78</v>
      </c>
      <c r="E106" s="324" t="s">
        <v>78</v>
      </c>
      <c r="F106" s="325" t="s">
        <v>78</v>
      </c>
      <c r="G106" s="325" t="s">
        <v>78</v>
      </c>
      <c r="H106" s="324" t="s">
        <v>78</v>
      </c>
      <c r="I106" s="325">
        <f>47</f>
        <v>47</v>
      </c>
      <c r="J106" s="325" t="s">
        <v>78</v>
      </c>
      <c r="K106" s="324" t="s">
        <v>78</v>
      </c>
      <c r="L106" s="81">
        <f>46</f>
        <v>46</v>
      </c>
      <c r="M106" s="69"/>
      <c r="N106" s="70"/>
      <c r="O106" s="69">
        <f>49</f>
        <v>49</v>
      </c>
      <c r="P106" s="69"/>
      <c r="Q106" s="70"/>
      <c r="R106" s="69"/>
      <c r="S106" s="69"/>
      <c r="T106" s="72"/>
      <c r="U106" s="69"/>
      <c r="V106" s="69"/>
      <c r="W106" s="72"/>
      <c r="X106" s="166">
        <f>9165+222</f>
        <v>9387</v>
      </c>
      <c r="Y106" s="52"/>
      <c r="AA106" s="204">
        <f>25+13887+905+750</f>
        <v>15567</v>
      </c>
      <c r="AB106" s="172"/>
      <c r="AC106" s="70"/>
      <c r="AD106" s="65"/>
      <c r="AE106" s="65"/>
      <c r="AF106" s="52">
        <f>4667+395</f>
        <v>5062</v>
      </c>
      <c r="AG106" s="52">
        <f t="shared" si="102"/>
        <v>-10505</v>
      </c>
      <c r="AH106" s="58">
        <f t="shared" si="103"/>
        <v>-0.67482495021519884</v>
      </c>
      <c r="AI106" s="65"/>
      <c r="AL106" s="136"/>
      <c r="AM106" s="256"/>
      <c r="AN106" s="258"/>
      <c r="AO106" s="253"/>
      <c r="AP106" s="270"/>
      <c r="AQ106" s="270"/>
      <c r="AR106" s="65">
        <f t="shared" si="117"/>
        <v>0</v>
      </c>
      <c r="AS106" s="78">
        <f t="shared" si="118"/>
        <v>296.05795999999998</v>
      </c>
      <c r="AT106" s="65">
        <f t="shared" si="119"/>
        <v>-4765.9420399999999</v>
      </c>
      <c r="AU106" s="99">
        <f t="shared" si="120"/>
        <v>-0.94151363887791384</v>
      </c>
      <c r="AV106" s="246"/>
      <c r="AW106" s="99"/>
      <c r="AX106" s="219">
        <f>375+130+9507+70+250</f>
        <v>10332</v>
      </c>
      <c r="AY106" s="52">
        <f>AX106-AF106</f>
        <v>5270</v>
      </c>
      <c r="AZ106" s="51">
        <f t="shared" si="89"/>
        <v>1.0410904780719084</v>
      </c>
      <c r="BA106" s="616">
        <v>375</v>
      </c>
      <c r="BB106" s="616">
        <v>296.05795999999998</v>
      </c>
      <c r="BC106" s="616">
        <f t="shared" si="121"/>
        <v>78.94204000000002</v>
      </c>
      <c r="BD106" s="31">
        <f t="shared" si="122"/>
        <v>0.21051210666666673</v>
      </c>
      <c r="BE106" s="219">
        <f>(8161+3883)</f>
        <v>12044</v>
      </c>
      <c r="BF106" s="52">
        <f t="shared" si="123"/>
        <v>1712</v>
      </c>
      <c r="BG106" s="51">
        <f t="shared" si="108"/>
        <v>0.1656987998451413</v>
      </c>
      <c r="BH106" s="65"/>
      <c r="BI106" s="65"/>
      <c r="BJ106" s="65"/>
      <c r="BK106" s="65">
        <v>21</v>
      </c>
      <c r="BL106" s="39">
        <f t="shared" si="90"/>
        <v>12065</v>
      </c>
      <c r="BM106" s="39">
        <f t="shared" si="109"/>
        <v>11768.94204</v>
      </c>
      <c r="BN106" s="534">
        <f>11195-2951</f>
        <v>8244</v>
      </c>
      <c r="BO106" s="534">
        <v>13099</v>
      </c>
      <c r="BP106" s="39">
        <f t="shared" si="86"/>
        <v>1055</v>
      </c>
      <c r="BQ106" s="51">
        <f t="shared" si="110"/>
        <v>39.752155422539559</v>
      </c>
      <c r="BR106" s="99">
        <f t="shared" si="87"/>
        <v>8.7595483228163407E-2</v>
      </c>
      <c r="BV106"/>
      <c r="BW106" s="280">
        <f t="shared" si="111"/>
        <v>8244</v>
      </c>
      <c r="BX106" s="39">
        <f t="shared" si="112"/>
        <v>-3821</v>
      </c>
      <c r="BY106" s="51">
        <f t="shared" si="113"/>
        <v>-0.31670120182345629</v>
      </c>
    </row>
    <row r="107" spans="1:77" ht="18" customHeight="1">
      <c r="A107" s="245" t="s">
        <v>471</v>
      </c>
      <c r="B107" s="330"/>
      <c r="C107" s="330"/>
      <c r="D107" s="325"/>
      <c r="E107" s="324"/>
      <c r="F107" s="325"/>
      <c r="G107" s="325"/>
      <c r="H107" s="324"/>
      <c r="I107" s="325"/>
      <c r="J107" s="325"/>
      <c r="K107" s="324"/>
      <c r="L107" s="81"/>
      <c r="M107" s="69"/>
      <c r="N107" s="70"/>
      <c r="O107" s="69"/>
      <c r="P107" s="69"/>
      <c r="Q107" s="70"/>
      <c r="R107" s="69"/>
      <c r="S107" s="69"/>
      <c r="T107" s="72"/>
      <c r="U107" s="69"/>
      <c r="V107" s="69"/>
      <c r="W107" s="72"/>
      <c r="Y107" s="52"/>
      <c r="AA107" s="204"/>
      <c r="AB107" s="172"/>
      <c r="AC107" s="70"/>
      <c r="AD107" s="65"/>
      <c r="AE107" s="65"/>
      <c r="AH107" s="58"/>
      <c r="AI107" s="65"/>
      <c r="AL107" s="136"/>
      <c r="AM107" s="256"/>
      <c r="AN107" s="258"/>
      <c r="AO107" s="253"/>
      <c r="AP107" s="270"/>
      <c r="AQ107" s="270"/>
      <c r="AR107" s="65"/>
      <c r="AS107" s="78"/>
      <c r="AT107" s="65"/>
      <c r="AU107" s="99"/>
      <c r="AV107" s="246"/>
      <c r="AW107" s="99"/>
      <c r="AX107" s="219"/>
      <c r="AZ107" s="51"/>
      <c r="BA107" s="616"/>
      <c r="BB107" s="616"/>
      <c r="BC107" s="616"/>
      <c r="BD107" s="31"/>
      <c r="BE107" s="219"/>
      <c r="BG107" s="51"/>
      <c r="BH107" s="65"/>
      <c r="BI107" s="65"/>
      <c r="BJ107" s="65"/>
      <c r="BK107" s="65"/>
      <c r="BL107" s="39"/>
      <c r="BM107" s="39"/>
      <c r="BN107" s="534">
        <v>8294</v>
      </c>
      <c r="BO107" s="534">
        <v>8505</v>
      </c>
      <c r="BP107" s="39">
        <f t="shared" si="86"/>
        <v>8505</v>
      </c>
      <c r="BQ107" s="51"/>
      <c r="BR107" s="99" t="e">
        <f t="shared" si="87"/>
        <v>#DIV/0!</v>
      </c>
      <c r="BV107"/>
      <c r="BW107" s="280">
        <f t="shared" si="111"/>
        <v>8294</v>
      </c>
      <c r="BX107" s="39">
        <f t="shared" si="112"/>
        <v>8294</v>
      </c>
      <c r="BY107" s="51" t="e">
        <f t="shared" si="113"/>
        <v>#DIV/0!</v>
      </c>
    </row>
    <row r="108" spans="1:77" s="54" customFormat="1" ht="18" customHeight="1" thickBot="1">
      <c r="A108" s="130" t="s">
        <v>186</v>
      </c>
      <c r="B108" s="329" t="s">
        <v>78</v>
      </c>
      <c r="C108" s="329" t="s">
        <v>78</v>
      </c>
      <c r="D108" s="329" t="s">
        <v>78</v>
      </c>
      <c r="E108" s="328" t="s">
        <v>78</v>
      </c>
      <c r="F108" s="329" t="s">
        <v>78</v>
      </c>
      <c r="G108" s="329" t="s">
        <v>78</v>
      </c>
      <c r="H108" s="328" t="s">
        <v>78</v>
      </c>
      <c r="I108" s="329" t="s">
        <v>78</v>
      </c>
      <c r="J108" s="329" t="s">
        <v>78</v>
      </c>
      <c r="K108" s="328" t="s">
        <v>78</v>
      </c>
      <c r="L108" s="74"/>
      <c r="M108" s="75"/>
      <c r="N108" s="76"/>
      <c r="O108" s="75"/>
      <c r="P108" s="75"/>
      <c r="Q108" s="76"/>
      <c r="R108" s="75"/>
      <c r="S108" s="75"/>
      <c r="T108" s="77"/>
      <c r="U108" s="75"/>
      <c r="V108" s="75"/>
      <c r="W108" s="77"/>
      <c r="X108" s="177">
        <v>3773</v>
      </c>
      <c r="Y108" s="75">
        <f t="shared" si="98"/>
        <v>3773</v>
      </c>
      <c r="Z108" s="126"/>
      <c r="AA108" s="206"/>
      <c r="AB108" s="174">
        <f t="shared" si="100"/>
        <v>-3773</v>
      </c>
      <c r="AC108" s="128">
        <f>AB108/X108</f>
        <v>-1</v>
      </c>
      <c r="AF108" s="75"/>
      <c r="AG108" s="75">
        <f t="shared" si="102"/>
        <v>0</v>
      </c>
      <c r="AH108" s="77" t="e">
        <f t="shared" si="103"/>
        <v>#DIV/0!</v>
      </c>
      <c r="AJ108" s="54">
        <v>0</v>
      </c>
      <c r="AL108" s="136"/>
      <c r="AM108" s="256">
        <f t="shared" si="104"/>
        <v>0</v>
      </c>
      <c r="AP108" s="94"/>
      <c r="AQ108" s="94"/>
      <c r="AR108" s="65">
        <f t="shared" si="117"/>
        <v>0</v>
      </c>
      <c r="AS108" s="78">
        <f t="shared" si="118"/>
        <v>20444.884999999998</v>
      </c>
      <c r="AT108" s="65">
        <f t="shared" si="119"/>
        <v>20444.884999999998</v>
      </c>
      <c r="AU108" s="99" t="e">
        <f t="shared" si="120"/>
        <v>#DIV/0!</v>
      </c>
      <c r="AV108" s="80">
        <f t="shared" si="105"/>
        <v>20444.884999999998</v>
      </c>
      <c r="AW108" s="101" t="e">
        <f t="shared" si="106"/>
        <v>#DIV/0!</v>
      </c>
      <c r="AX108" s="94"/>
      <c r="AY108" s="75">
        <f t="shared" si="88"/>
        <v>0</v>
      </c>
      <c r="AZ108" s="55" t="e">
        <f t="shared" si="89"/>
        <v>#DIV/0!</v>
      </c>
      <c r="BA108" s="616">
        <v>20444.884999999998</v>
      </c>
      <c r="BB108" s="616">
        <v>20444.884999999998</v>
      </c>
      <c r="BC108" s="616">
        <f t="shared" si="121"/>
        <v>0</v>
      </c>
      <c r="BD108" s="31">
        <f t="shared" si="122"/>
        <v>0</v>
      </c>
      <c r="BE108" s="94"/>
      <c r="BF108" s="75">
        <f t="shared" si="123"/>
        <v>0</v>
      </c>
      <c r="BG108" s="55" t="e">
        <f t="shared" si="108"/>
        <v>#DIV/0!</v>
      </c>
      <c r="BH108" s="94"/>
      <c r="BI108" s="94"/>
      <c r="BJ108" s="94"/>
      <c r="BK108" s="94"/>
      <c r="BL108" s="102">
        <f t="shared" si="90"/>
        <v>0</v>
      </c>
      <c r="BM108" s="102">
        <f t="shared" si="109"/>
        <v>-20444.884999999998</v>
      </c>
      <c r="BN108" s="102"/>
      <c r="BP108" s="39">
        <f t="shared" si="86"/>
        <v>0</v>
      </c>
      <c r="BQ108" s="55">
        <f t="shared" si="110"/>
        <v>-1</v>
      </c>
      <c r="BR108" s="99" t="e">
        <f t="shared" si="87"/>
        <v>#DIV/0!</v>
      </c>
      <c r="BS108" s="102"/>
      <c r="BV108" s="4"/>
      <c r="BW108" s="280">
        <f t="shared" si="111"/>
        <v>0</v>
      </c>
      <c r="BX108" s="39">
        <f t="shared" si="112"/>
        <v>0</v>
      </c>
      <c r="BY108" s="51" t="e">
        <f t="shared" si="113"/>
        <v>#DIV/0!</v>
      </c>
    </row>
    <row r="109" spans="1:77" s="13" customFormat="1" ht="18" customHeight="1" thickBot="1">
      <c r="A109" s="64" t="s">
        <v>58</v>
      </c>
      <c r="B109" s="12">
        <f t="shared" ref="B109:I109" si="124">SUM(B85:B108)</f>
        <v>706747</v>
      </c>
      <c r="C109" s="12">
        <f t="shared" si="124"/>
        <v>717389</v>
      </c>
      <c r="D109" s="25">
        <f t="shared" si="67"/>
        <v>10642</v>
      </c>
      <c r="E109" s="359">
        <f t="shared" si="79"/>
        <v>1.5057722211767436E-2</v>
      </c>
      <c r="F109" s="12">
        <f t="shared" si="124"/>
        <v>636160</v>
      </c>
      <c r="G109" s="12">
        <f t="shared" si="68"/>
        <v>-81229</v>
      </c>
      <c r="H109" s="15">
        <f t="shared" si="80"/>
        <v>-0.11322866673450527</v>
      </c>
      <c r="I109" s="12">
        <f t="shared" si="124"/>
        <v>659479</v>
      </c>
      <c r="J109" s="12">
        <f t="shared" si="69"/>
        <v>23319</v>
      </c>
      <c r="K109" s="15">
        <f t="shared" si="81"/>
        <v>3.6655872736418509E-2</v>
      </c>
      <c r="L109" s="12">
        <f>SUM(L85:L108)</f>
        <v>746064</v>
      </c>
      <c r="M109" s="12">
        <v>86583</v>
      </c>
      <c r="N109" s="36">
        <v>0.13128960500757414</v>
      </c>
      <c r="O109" s="12">
        <f>SUM(O85:O108)</f>
        <v>805467</v>
      </c>
      <c r="P109" s="12">
        <f>O109-L109</f>
        <v>59403</v>
      </c>
      <c r="Q109" s="36">
        <f>P109/L109</f>
        <v>7.9621855497651675E-2</v>
      </c>
      <c r="R109" s="12">
        <f>SUM(R85:R108)</f>
        <v>894748</v>
      </c>
      <c r="S109" s="12">
        <f t="shared" si="96"/>
        <v>89281</v>
      </c>
      <c r="T109" s="36">
        <f>S109/O109</f>
        <v>0.11084377137735003</v>
      </c>
      <c r="U109" s="12">
        <f>SUM(U85:U108)</f>
        <v>961430</v>
      </c>
      <c r="V109" s="46">
        <f t="shared" ref="V109" si="125">U109-R109</f>
        <v>66682</v>
      </c>
      <c r="W109" s="227">
        <f>V109/R109</f>
        <v>7.4526011793264693E-2</v>
      </c>
      <c r="X109" s="178">
        <f>SUM(X85:X108)</f>
        <v>1044461</v>
      </c>
      <c r="Y109" s="12">
        <f t="shared" si="98"/>
        <v>83031</v>
      </c>
      <c r="Z109" s="98">
        <f>Y109/U109</f>
        <v>8.6361981631528043E-2</v>
      </c>
      <c r="AA109" s="12">
        <f>SUM(AA85:AA108)</f>
        <v>1013227</v>
      </c>
      <c r="AB109" s="165">
        <f t="shared" si="100"/>
        <v>-31234</v>
      </c>
      <c r="AC109" s="97">
        <f>AB109/X109</f>
        <v>-2.9904419600157401E-2</v>
      </c>
      <c r="AD109" s="12">
        <f>SUM(AD85:AD108)</f>
        <v>931795</v>
      </c>
      <c r="AE109" s="12">
        <f>SUM(AE85:AE108)</f>
        <v>88395</v>
      </c>
      <c r="AF109" s="12">
        <f>SUM(AF85:AF108)</f>
        <v>1006117</v>
      </c>
      <c r="AG109" s="12">
        <f>AF109-AA109</f>
        <v>-7110</v>
      </c>
      <c r="AH109" s="36">
        <f>AG109/AA109</f>
        <v>-7.01718371105389E-3</v>
      </c>
      <c r="AI109" s="12">
        <f t="shared" ref="AI109:AO109" si="126">SUM(AI85:AI108)</f>
        <v>930266</v>
      </c>
      <c r="AJ109" s="12">
        <f t="shared" si="126"/>
        <v>1018661</v>
      </c>
      <c r="AK109" s="12">
        <f t="shared" si="126"/>
        <v>957625</v>
      </c>
      <c r="AL109" s="12">
        <f t="shared" si="126"/>
        <v>5845</v>
      </c>
      <c r="AM109" s="12">
        <f t="shared" si="126"/>
        <v>963470</v>
      </c>
      <c r="AN109" s="12">
        <f t="shared" si="126"/>
        <v>883558</v>
      </c>
      <c r="AO109" s="13">
        <f t="shared" si="126"/>
        <v>980477</v>
      </c>
      <c r="AP109" s="28">
        <f>SUM(AP85:AP108)</f>
        <v>35815</v>
      </c>
      <c r="AQ109" s="28">
        <f>SUM(AQ85:AQ108)</f>
        <v>1516</v>
      </c>
      <c r="AR109" s="338">
        <f>SUM(AR85:AR108)</f>
        <v>37331</v>
      </c>
      <c r="AS109" s="539">
        <f>BB109+AR109</f>
        <v>1031119.9855300003</v>
      </c>
      <c r="AT109" s="539">
        <f t="shared" si="119"/>
        <v>25002.985530000296</v>
      </c>
      <c r="AU109" s="542">
        <f t="shared" si="120"/>
        <v>2.4850972133459923E-2</v>
      </c>
      <c r="AV109" s="28">
        <f t="shared" si="105"/>
        <v>25002.985530000296</v>
      </c>
      <c r="AW109" s="97">
        <f t="shared" si="106"/>
        <v>2.4850972133459923E-2</v>
      </c>
      <c r="AX109" s="28">
        <f>SUM(AX85:AX108)</f>
        <v>990145</v>
      </c>
      <c r="AY109" s="52">
        <f t="shared" si="88"/>
        <v>-15972</v>
      </c>
      <c r="AZ109" s="51">
        <f t="shared" si="89"/>
        <v>-1.5874893277819577E-2</v>
      </c>
      <c r="BA109" s="51"/>
      <c r="BB109" s="65">
        <f>SUM(BB85:BB108)</f>
        <v>993788.9855300003</v>
      </c>
      <c r="BC109" s="51"/>
      <c r="BD109" s="51"/>
      <c r="BE109" s="28">
        <f>SUM(BE85:BE108)</f>
        <v>973334</v>
      </c>
      <c r="BF109" s="52">
        <f t="shared" si="123"/>
        <v>-16811</v>
      </c>
      <c r="BG109" s="51">
        <f t="shared" si="108"/>
        <v>-1.697832135697297E-2</v>
      </c>
      <c r="BH109" s="65">
        <f>SUM(BH85:BH108)</f>
        <v>37438</v>
      </c>
      <c r="BI109" s="65"/>
      <c r="BJ109" s="65"/>
      <c r="BK109" s="65">
        <f>SUM(BK85:BK108)</f>
        <v>850</v>
      </c>
      <c r="BL109" s="39">
        <f t="shared" si="90"/>
        <v>1011622</v>
      </c>
      <c r="BM109" s="39">
        <f t="shared" si="109"/>
        <v>-19497.985530000296</v>
      </c>
      <c r="BN109" s="30">
        <f>SUM(BN85:BN108)</f>
        <v>994221</v>
      </c>
      <c r="BO109" s="213">
        <f>SUM(BO85:BO107)</f>
        <v>995575</v>
      </c>
      <c r="BP109" s="39">
        <f t="shared" si="86"/>
        <v>22241</v>
      </c>
      <c r="BQ109" s="51">
        <f t="shared" si="110"/>
        <v>-1.890952149470582E-2</v>
      </c>
      <c r="BR109" s="99">
        <f t="shared" si="87"/>
        <v>2.2850326814844647E-2</v>
      </c>
      <c r="BS109" s="30"/>
      <c r="BW109" s="658">
        <f>BW85+BW86+BW87+BW88+BW89+BW90+BW91+BW92+BW93+BW94+BW95+BW96+BW97+BW98+BW99+BW100+BW101+BW102+BW103+BW104+BW105+BW106+BW107+BW108</f>
        <v>1044801</v>
      </c>
      <c r="BX109" s="636">
        <f t="shared" si="112"/>
        <v>33179</v>
      </c>
      <c r="BY109" s="543">
        <f t="shared" si="113"/>
        <v>3.2797823693039498E-2</v>
      </c>
    </row>
    <row r="110" spans="1:77" s="13" customFormat="1" ht="18" customHeight="1">
      <c r="A110" s="64" t="s">
        <v>455</v>
      </c>
      <c r="D110" s="323"/>
      <c r="E110" s="352"/>
      <c r="G110" s="10"/>
      <c r="H110" s="14"/>
      <c r="J110" s="10"/>
      <c r="K110" s="14"/>
      <c r="L110" s="12"/>
      <c r="M110" s="12"/>
      <c r="N110" s="36"/>
      <c r="O110" s="12"/>
      <c r="P110" s="12"/>
      <c r="Q110" s="36"/>
      <c r="R110" s="12"/>
      <c r="S110" s="12"/>
      <c r="T110" s="36"/>
      <c r="U110" s="12"/>
      <c r="V110" s="46"/>
      <c r="W110" s="227"/>
      <c r="X110" s="178"/>
      <c r="Y110" s="12"/>
      <c r="Z110" s="98"/>
      <c r="AA110" s="12"/>
      <c r="AB110" s="165"/>
      <c r="AC110" s="97"/>
      <c r="AD110" s="12"/>
      <c r="AE110" s="12"/>
      <c r="AF110" s="12"/>
      <c r="AG110" s="52"/>
      <c r="AH110" s="58"/>
      <c r="AI110" s="12"/>
      <c r="AJ110" s="12"/>
      <c r="AK110" s="12"/>
      <c r="AL110" s="12"/>
      <c r="AM110" s="256"/>
      <c r="AN110" s="256"/>
      <c r="AT110" s="219"/>
      <c r="AU110" s="262"/>
      <c r="AV110" s="219"/>
      <c r="AW110" s="262"/>
      <c r="AX110" s="12"/>
      <c r="AY110" s="52"/>
      <c r="AZ110" s="58"/>
      <c r="BA110" s="58"/>
      <c r="BB110" s="58"/>
      <c r="BC110" s="58"/>
      <c r="BD110" s="58"/>
      <c r="BE110" s="12"/>
      <c r="BF110" s="52"/>
      <c r="BG110" s="58"/>
      <c r="BH110" s="65"/>
      <c r="BI110" s="65"/>
      <c r="BJ110" s="65"/>
      <c r="BK110" s="65"/>
      <c r="BL110" s="39"/>
      <c r="BM110" s="39"/>
      <c r="BN110" s="39">
        <f>+BN109-920</f>
        <v>993301</v>
      </c>
      <c r="BO110" s="534">
        <f>BO109-920</f>
        <v>994655</v>
      </c>
      <c r="BP110" s="39">
        <f t="shared" si="86"/>
        <v>994655</v>
      </c>
      <c r="BQ110" s="51"/>
      <c r="BR110" s="99" t="e">
        <f t="shared" si="87"/>
        <v>#DIV/0!</v>
      </c>
      <c r="BS110" s="30"/>
      <c r="BW110" s="280">
        <f t="shared" ref="BW110:BW118" si="127">BN110+BS110+BT110+BU110+BV110</f>
        <v>993301</v>
      </c>
      <c r="BX110" s="39">
        <f t="shared" si="112"/>
        <v>993301</v>
      </c>
      <c r="BY110" s="51" t="e">
        <f t="shared" si="113"/>
        <v>#DIV/0!</v>
      </c>
    </row>
    <row r="111" spans="1:77" s="13" customFormat="1" ht="18" customHeight="1">
      <c r="A111" s="64" t="s">
        <v>456</v>
      </c>
      <c r="D111" s="323"/>
      <c r="E111" s="352"/>
      <c r="G111" s="10"/>
      <c r="H111" s="14"/>
      <c r="J111" s="10"/>
      <c r="K111" s="14"/>
      <c r="L111" s="12"/>
      <c r="M111" s="12"/>
      <c r="N111" s="36"/>
      <c r="O111" s="12"/>
      <c r="P111" s="12"/>
      <c r="Q111" s="36"/>
      <c r="R111" s="12"/>
      <c r="S111" s="12"/>
      <c r="T111" s="36"/>
      <c r="U111" s="12"/>
      <c r="V111" s="46"/>
      <c r="W111" s="227"/>
      <c r="X111" s="178"/>
      <c r="Y111" s="12"/>
      <c r="Z111" s="98"/>
      <c r="AA111" s="12"/>
      <c r="AB111" s="165"/>
      <c r="AC111" s="97"/>
      <c r="AD111" s="12"/>
      <c r="AE111" s="12"/>
      <c r="AF111" s="12"/>
      <c r="AG111" s="52"/>
      <c r="AH111" s="58"/>
      <c r="AI111" s="12"/>
      <c r="AJ111" s="12"/>
      <c r="AK111" s="12"/>
      <c r="AL111" s="12"/>
      <c r="AM111" s="256"/>
      <c r="AN111" s="256"/>
      <c r="AT111" s="219"/>
      <c r="AU111" s="262"/>
      <c r="AV111" s="219">
        <f>AS111-AF109</f>
        <v>-1006117</v>
      </c>
      <c r="AW111" s="262">
        <f>AV111/AF109</f>
        <v>-1</v>
      </c>
      <c r="AX111" s="12"/>
      <c r="AY111" s="52"/>
      <c r="AZ111" s="58"/>
      <c r="BA111" s="58"/>
      <c r="BB111" s="58"/>
      <c r="BC111" s="58"/>
      <c r="BD111" s="58"/>
      <c r="BE111" s="12"/>
      <c r="BF111" s="52"/>
      <c r="BG111" s="58"/>
      <c r="BH111" s="65"/>
      <c r="BI111" s="65"/>
      <c r="BJ111" s="65"/>
      <c r="BK111" s="65"/>
      <c r="BL111" s="39"/>
      <c r="BM111" s="39"/>
      <c r="BN111" s="39">
        <f>+BN109-920</f>
        <v>993301</v>
      </c>
      <c r="BO111" s="534">
        <f>BO109-920</f>
        <v>994655</v>
      </c>
      <c r="BP111" s="39">
        <f t="shared" si="86"/>
        <v>994655</v>
      </c>
      <c r="BQ111" s="51"/>
      <c r="BR111" s="99" t="e">
        <f t="shared" si="87"/>
        <v>#DIV/0!</v>
      </c>
      <c r="BS111" s="30"/>
      <c r="BW111" s="280">
        <f t="shared" si="127"/>
        <v>993301</v>
      </c>
      <c r="BX111" s="39">
        <f t="shared" si="112"/>
        <v>993301</v>
      </c>
      <c r="BY111" s="51" t="e">
        <f t="shared" si="113"/>
        <v>#DIV/0!</v>
      </c>
    </row>
    <row r="112" spans="1:77" s="13" customFormat="1" ht="18" customHeight="1">
      <c r="A112" s="64"/>
      <c r="D112" s="323"/>
      <c r="E112" s="352"/>
      <c r="G112" s="10"/>
      <c r="H112" s="14"/>
      <c r="J112" s="10"/>
      <c r="K112" s="14"/>
      <c r="L112" s="12"/>
      <c r="M112" s="12"/>
      <c r="N112" s="36"/>
      <c r="O112" s="12"/>
      <c r="P112" s="12"/>
      <c r="Q112" s="36"/>
      <c r="R112" s="12"/>
      <c r="S112" s="52"/>
      <c r="T112" s="58"/>
      <c r="U112" s="52"/>
      <c r="V112" s="52"/>
      <c r="W112" s="58"/>
      <c r="X112" s="180"/>
      <c r="Y112" s="163"/>
      <c r="Z112" s="98"/>
      <c r="AA112" s="202"/>
      <c r="AB112" s="172"/>
      <c r="AC112" s="97"/>
      <c r="AF112" s="12"/>
      <c r="AG112" s="12"/>
      <c r="AX112" s="12"/>
      <c r="AY112" s="52"/>
      <c r="AZ112" s="58"/>
      <c r="BA112" s="58"/>
      <c r="BB112" s="58"/>
      <c r="BC112" s="58"/>
      <c r="BD112" s="58"/>
      <c r="BE112" s="12"/>
      <c r="BF112" s="52"/>
      <c r="BG112" s="58"/>
      <c r="BH112" s="65"/>
      <c r="BI112" s="65"/>
      <c r="BJ112" s="65"/>
      <c r="BK112" s="65"/>
      <c r="BL112" s="39"/>
      <c r="BM112" s="39"/>
      <c r="BN112" s="39"/>
      <c r="BO112" s="534"/>
      <c r="BP112" s="39">
        <f t="shared" si="86"/>
        <v>0</v>
      </c>
      <c r="BQ112" s="51"/>
      <c r="BR112" s="99" t="e">
        <f t="shared" si="87"/>
        <v>#DIV/0!</v>
      </c>
      <c r="BS112" s="30"/>
      <c r="BW112" s="280">
        <f t="shared" si="127"/>
        <v>0</v>
      </c>
      <c r="BX112" s="39">
        <f t="shared" si="112"/>
        <v>0</v>
      </c>
      <c r="BY112" s="51" t="e">
        <f t="shared" si="113"/>
        <v>#DIV/0!</v>
      </c>
    </row>
    <row r="113" spans="1:238" s="13" customFormat="1" ht="18" customHeight="1">
      <c r="A113" s="73" t="s">
        <v>84</v>
      </c>
      <c r="D113" s="323"/>
      <c r="E113" s="352"/>
      <c r="G113" s="10"/>
      <c r="H113" s="14"/>
      <c r="J113" s="10"/>
      <c r="K113" s="14"/>
      <c r="L113" s="12"/>
      <c r="M113" s="12"/>
      <c r="N113" s="36"/>
      <c r="O113" s="12"/>
      <c r="P113" s="12"/>
      <c r="Q113" s="36"/>
      <c r="R113" s="12"/>
      <c r="S113" s="52"/>
      <c r="T113" s="58"/>
      <c r="U113" s="52"/>
      <c r="V113" s="52"/>
      <c r="W113" s="58"/>
      <c r="X113" s="180"/>
      <c r="Y113" s="163"/>
      <c r="Z113" s="98"/>
      <c r="AA113" s="202"/>
      <c r="AB113" s="172"/>
      <c r="AC113" s="97"/>
      <c r="AF113" s="12"/>
      <c r="AG113" s="12"/>
      <c r="AV113" s="13" t="s">
        <v>351</v>
      </c>
      <c r="AX113" s="12"/>
      <c r="AY113" s="52"/>
      <c r="AZ113" s="58"/>
      <c r="BA113" s="58"/>
      <c r="BB113" s="58"/>
      <c r="BC113" s="58"/>
      <c r="BD113" s="58"/>
      <c r="BE113" s="12"/>
      <c r="BF113" s="52"/>
      <c r="BG113" s="58"/>
      <c r="BH113" s="65"/>
      <c r="BI113" s="65"/>
      <c r="BJ113" s="65"/>
      <c r="BK113" s="65"/>
      <c r="BL113" s="39"/>
      <c r="BM113" s="39"/>
      <c r="BN113" s="39"/>
      <c r="BO113" s="534"/>
      <c r="BP113" s="39">
        <f t="shared" si="86"/>
        <v>0</v>
      </c>
      <c r="BQ113" s="51"/>
      <c r="BR113" s="99" t="e">
        <f t="shared" si="87"/>
        <v>#DIV/0!</v>
      </c>
      <c r="BS113" s="30"/>
      <c r="BW113" s="280">
        <f t="shared" si="127"/>
        <v>0</v>
      </c>
      <c r="BX113" s="39">
        <f t="shared" si="112"/>
        <v>0</v>
      </c>
      <c r="BY113" s="51" t="e">
        <f t="shared" si="113"/>
        <v>#DIV/0!</v>
      </c>
    </row>
    <row r="114" spans="1:238" s="13" customFormat="1" ht="18" customHeight="1">
      <c r="A114" s="73" t="s">
        <v>176</v>
      </c>
      <c r="D114" s="323"/>
      <c r="E114" s="352"/>
      <c r="G114" s="10"/>
      <c r="H114" s="14"/>
      <c r="J114" s="10"/>
      <c r="K114" s="14"/>
      <c r="L114" s="12"/>
      <c r="M114" s="12"/>
      <c r="N114" s="36"/>
      <c r="O114" s="12"/>
      <c r="P114" s="12"/>
      <c r="Q114" s="36"/>
      <c r="R114" s="12"/>
      <c r="S114" s="52"/>
      <c r="T114" s="58"/>
      <c r="U114" s="52"/>
      <c r="V114" s="52"/>
      <c r="W114" s="58"/>
      <c r="X114" s="180"/>
      <c r="Y114" s="163"/>
      <c r="Z114" s="98"/>
      <c r="AA114" s="202"/>
      <c r="AB114" s="172"/>
      <c r="AC114" s="97"/>
      <c r="AF114" s="12"/>
      <c r="AG114" s="12"/>
      <c r="AX114" s="12"/>
      <c r="AY114" s="52"/>
      <c r="AZ114" s="58"/>
      <c r="BA114" s="58"/>
      <c r="BB114" s="58"/>
      <c r="BC114" s="58"/>
      <c r="BD114" s="58"/>
      <c r="BE114" s="12"/>
      <c r="BF114" s="52"/>
      <c r="BG114" s="58"/>
      <c r="BH114" s="65"/>
      <c r="BI114" s="65"/>
      <c r="BJ114" s="65"/>
      <c r="BK114" s="65"/>
      <c r="BL114" s="39"/>
      <c r="BM114" s="39"/>
      <c r="BN114" s="39"/>
      <c r="BO114" s="534"/>
      <c r="BP114" s="39">
        <f t="shared" si="86"/>
        <v>0</v>
      </c>
      <c r="BQ114" s="51"/>
      <c r="BR114" s="99" t="e">
        <f t="shared" si="87"/>
        <v>#DIV/0!</v>
      </c>
      <c r="BS114" s="30"/>
      <c r="BW114" s="280">
        <f t="shared" si="127"/>
        <v>0</v>
      </c>
      <c r="BX114" s="39">
        <f t="shared" si="112"/>
        <v>0</v>
      </c>
      <c r="BY114" s="51" t="e">
        <f t="shared" si="113"/>
        <v>#DIV/0!</v>
      </c>
    </row>
    <row r="115" spans="1:238" s="13" customFormat="1" ht="18" customHeight="1">
      <c r="A115" s="73" t="s">
        <v>174</v>
      </c>
      <c r="D115" s="323"/>
      <c r="E115" s="352"/>
      <c r="G115" s="10"/>
      <c r="H115" s="14"/>
      <c r="J115" s="10"/>
      <c r="K115" s="14"/>
      <c r="L115" s="12"/>
      <c r="M115" s="12"/>
      <c r="N115" s="36"/>
      <c r="O115" s="12"/>
      <c r="P115" s="12"/>
      <c r="Q115" s="36"/>
      <c r="R115" s="12"/>
      <c r="S115" s="52"/>
      <c r="T115" s="58"/>
      <c r="U115" s="52"/>
      <c r="V115" s="52"/>
      <c r="W115" s="58"/>
      <c r="X115" s="180"/>
      <c r="Y115" s="163"/>
      <c r="Z115" s="98"/>
      <c r="AA115" s="202"/>
      <c r="AB115" s="172"/>
      <c r="AC115" s="97"/>
      <c r="AF115" s="12"/>
      <c r="AG115" s="12"/>
      <c r="AV115" s="12"/>
      <c r="AW115" s="36"/>
      <c r="AX115" s="12"/>
      <c r="AY115" s="52"/>
      <c r="AZ115" s="58"/>
      <c r="BA115" s="58"/>
      <c r="BB115" s="58"/>
      <c r="BC115" s="58"/>
      <c r="BD115" s="58"/>
      <c r="BE115" s="12"/>
      <c r="BF115" s="52"/>
      <c r="BG115" s="58"/>
      <c r="BH115" s="65"/>
      <c r="BI115" s="65"/>
      <c r="BJ115" s="65"/>
      <c r="BK115" s="65"/>
      <c r="BL115" s="39"/>
      <c r="BM115" s="39"/>
      <c r="BN115" s="39"/>
      <c r="BO115" s="534"/>
      <c r="BP115" s="39">
        <f t="shared" si="86"/>
        <v>0</v>
      </c>
      <c r="BQ115" s="51"/>
      <c r="BR115" s="99" t="e">
        <f t="shared" si="87"/>
        <v>#DIV/0!</v>
      </c>
      <c r="BS115" s="30"/>
      <c r="BW115" s="280">
        <f t="shared" si="127"/>
        <v>0</v>
      </c>
      <c r="BX115" s="39">
        <f t="shared" si="112"/>
        <v>0</v>
      </c>
      <c r="BY115" s="51" t="e">
        <f t="shared" si="113"/>
        <v>#DIV/0!</v>
      </c>
    </row>
    <row r="116" spans="1:238" s="13" customFormat="1" ht="18" customHeight="1">
      <c r="A116" s="83" t="s">
        <v>177</v>
      </c>
      <c r="D116" s="323"/>
      <c r="E116" s="352"/>
      <c r="G116" s="10"/>
      <c r="H116" s="14"/>
      <c r="J116" s="10"/>
      <c r="K116" s="14"/>
      <c r="L116" s="50"/>
      <c r="M116" s="50"/>
      <c r="N116" s="50"/>
      <c r="O116" s="50"/>
      <c r="P116" s="50"/>
      <c r="Q116" s="50"/>
      <c r="R116" s="50"/>
      <c r="S116" s="50"/>
      <c r="T116" s="50"/>
      <c r="U116" s="50"/>
      <c r="V116" s="50"/>
      <c r="W116" s="50"/>
      <c r="X116" s="166"/>
      <c r="Y116" s="157"/>
      <c r="Z116" s="95"/>
      <c r="AA116" s="202"/>
      <c r="AB116" s="172"/>
      <c r="AC116" s="97"/>
      <c r="AD116" s="50"/>
      <c r="AE116" s="50"/>
      <c r="AF116" s="52"/>
      <c r="AG116" s="52"/>
      <c r="AH116" s="50"/>
      <c r="AI116" s="50"/>
      <c r="AJ116" s="50"/>
      <c r="AK116" s="50"/>
      <c r="AL116" s="50"/>
      <c r="AM116" s="50"/>
      <c r="AN116" s="50"/>
      <c r="AO116" s="50"/>
      <c r="AP116" s="50"/>
      <c r="AQ116" s="50"/>
      <c r="AR116" s="50"/>
      <c r="AS116" s="50"/>
      <c r="AT116" s="50"/>
      <c r="AU116" s="50"/>
      <c r="AV116" s="50"/>
      <c r="AW116" s="50"/>
      <c r="AX116" s="52"/>
      <c r="AY116" s="52"/>
      <c r="AZ116" s="58"/>
      <c r="BA116" s="58"/>
      <c r="BB116" s="58"/>
      <c r="BC116" s="58"/>
      <c r="BD116" s="58"/>
      <c r="BE116" s="52"/>
      <c r="BF116" s="52"/>
      <c r="BG116" s="58"/>
      <c r="BH116" s="65"/>
      <c r="BI116" s="65"/>
      <c r="BJ116" s="65"/>
      <c r="BK116" s="65"/>
      <c r="BL116" s="39"/>
      <c r="BM116" s="39"/>
      <c r="BN116" s="39"/>
      <c r="BO116" s="534"/>
      <c r="BP116" s="39">
        <f t="shared" si="86"/>
        <v>0</v>
      </c>
      <c r="BQ116" s="51"/>
      <c r="BR116" s="99" t="e">
        <f t="shared" si="87"/>
        <v>#DIV/0!</v>
      </c>
      <c r="BS116" s="39"/>
      <c r="BT116" s="50"/>
      <c r="BU116" s="50"/>
      <c r="BV116" s="50"/>
      <c r="BW116" s="280">
        <f t="shared" si="127"/>
        <v>0</v>
      </c>
      <c r="BX116" s="39">
        <f t="shared" si="112"/>
        <v>0</v>
      </c>
      <c r="BY116" s="51" t="e">
        <f t="shared" si="113"/>
        <v>#DIV/0!</v>
      </c>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c r="DE116" s="50"/>
      <c r="DF116" s="50"/>
      <c r="DG116" s="50"/>
      <c r="DH116" s="50"/>
      <c r="DI116" s="50"/>
      <c r="DJ116" s="50"/>
      <c r="DK116" s="50"/>
      <c r="DL116" s="50"/>
      <c r="DM116" s="50"/>
      <c r="DN116" s="50"/>
      <c r="DO116" s="50"/>
      <c r="DP116" s="50"/>
      <c r="DQ116" s="50"/>
      <c r="DR116" s="50"/>
      <c r="DS116" s="50"/>
      <c r="DT116" s="50"/>
      <c r="DU116" s="50"/>
      <c r="DV116" s="50"/>
      <c r="DW116" s="50"/>
      <c r="DX116" s="50"/>
      <c r="DY116" s="50"/>
      <c r="DZ116" s="50"/>
      <c r="EA116" s="50"/>
      <c r="EB116" s="50"/>
      <c r="EC116" s="50"/>
      <c r="ED116" s="50"/>
      <c r="EE116" s="50"/>
      <c r="EF116" s="50"/>
      <c r="EG116" s="50"/>
      <c r="EH116" s="50"/>
      <c r="EI116" s="50"/>
      <c r="EJ116" s="50"/>
      <c r="EK116" s="50"/>
      <c r="EL116" s="50"/>
      <c r="EM116" s="50"/>
      <c r="EN116" s="50"/>
      <c r="EO116" s="50"/>
      <c r="EP116" s="50"/>
      <c r="EQ116" s="50"/>
      <c r="ER116" s="50"/>
      <c r="ES116" s="50"/>
      <c r="ET116" s="50"/>
      <c r="EU116" s="50"/>
      <c r="EV116" s="50"/>
      <c r="EW116" s="50"/>
      <c r="EX116" s="50"/>
      <c r="EY116" s="50"/>
      <c r="EZ116" s="50"/>
      <c r="FA116" s="50"/>
      <c r="FB116" s="50"/>
      <c r="FC116" s="50"/>
      <c r="FD116" s="50"/>
      <c r="FE116" s="50"/>
      <c r="FF116" s="50"/>
      <c r="FG116" s="50"/>
      <c r="FH116" s="50"/>
      <c r="FI116" s="50"/>
      <c r="FJ116" s="50"/>
      <c r="FK116" s="50"/>
      <c r="FL116" s="50"/>
      <c r="FM116" s="50"/>
      <c r="FN116" s="50"/>
      <c r="FO116" s="50"/>
      <c r="FP116" s="50"/>
      <c r="FQ116" s="50"/>
      <c r="FR116" s="50"/>
      <c r="FS116" s="50"/>
      <c r="FT116" s="50"/>
      <c r="FU116" s="50"/>
      <c r="FV116" s="50"/>
      <c r="FW116" s="50"/>
      <c r="FX116" s="50"/>
      <c r="FY116" s="50"/>
      <c r="FZ116" s="50"/>
      <c r="GA116" s="50"/>
      <c r="GB116" s="50"/>
      <c r="GC116" s="50"/>
      <c r="GD116" s="50"/>
      <c r="GE116" s="50"/>
      <c r="GF116" s="50"/>
      <c r="GG116" s="50"/>
      <c r="GH116" s="50"/>
      <c r="GI116" s="50"/>
      <c r="GJ116" s="50"/>
      <c r="GK116" s="50"/>
      <c r="GL116" s="50"/>
      <c r="GM116" s="50"/>
      <c r="GN116" s="50"/>
      <c r="GO116" s="50"/>
      <c r="GP116" s="50"/>
      <c r="GQ116" s="50"/>
      <c r="GR116" s="50"/>
      <c r="GS116" s="50"/>
      <c r="GT116" s="50"/>
      <c r="GU116" s="50"/>
      <c r="GV116" s="50"/>
      <c r="GW116" s="50"/>
      <c r="GX116" s="50"/>
      <c r="GY116" s="50"/>
      <c r="GZ116" s="50"/>
      <c r="HA116" s="50"/>
      <c r="HB116" s="50"/>
      <c r="HC116" s="50"/>
      <c r="HD116" s="50"/>
      <c r="HE116" s="50"/>
      <c r="HF116" s="50"/>
      <c r="HG116" s="50"/>
      <c r="HH116" s="50"/>
      <c r="HI116" s="50"/>
      <c r="HJ116" s="50"/>
      <c r="HK116" s="50"/>
      <c r="HL116" s="50"/>
      <c r="HM116" s="50"/>
      <c r="HN116" s="50"/>
      <c r="HO116" s="50"/>
      <c r="HP116" s="50"/>
      <c r="HQ116" s="50"/>
      <c r="HR116" s="50"/>
      <c r="HS116" s="50"/>
      <c r="HT116" s="50"/>
      <c r="HU116" s="50"/>
      <c r="HV116" s="50"/>
      <c r="HW116" s="50"/>
      <c r="HX116" s="50"/>
      <c r="HY116" s="50"/>
      <c r="HZ116" s="50"/>
      <c r="IA116" s="50"/>
      <c r="IB116" s="50"/>
      <c r="IC116" s="50"/>
      <c r="ID116" s="50"/>
    </row>
    <row r="117" spans="1:238" s="13" customFormat="1" ht="18" customHeight="1">
      <c r="A117" s="83" t="s">
        <v>187</v>
      </c>
      <c r="D117" s="323"/>
      <c r="E117" s="352"/>
      <c r="G117" s="10"/>
      <c r="H117" s="14"/>
      <c r="J117" s="10"/>
      <c r="K117" s="14"/>
      <c r="L117" s="50"/>
      <c r="M117" s="50"/>
      <c r="N117" s="50"/>
      <c r="O117" s="50"/>
      <c r="P117" s="50"/>
      <c r="Q117" s="50"/>
      <c r="R117" s="50"/>
      <c r="S117" s="50"/>
      <c r="T117" s="50"/>
      <c r="U117" s="50"/>
      <c r="V117" s="50"/>
      <c r="W117" s="50"/>
      <c r="X117" s="166"/>
      <c r="Y117" s="157"/>
      <c r="Z117" s="95"/>
      <c r="AA117" s="202"/>
      <c r="AB117" s="172"/>
      <c r="AC117" s="97"/>
      <c r="AD117" s="50"/>
      <c r="AE117" s="50"/>
      <c r="AF117" s="52"/>
      <c r="AG117" s="52"/>
      <c r="AH117" s="50"/>
      <c r="AI117" s="50"/>
      <c r="AJ117" s="50"/>
      <c r="AK117" s="50"/>
      <c r="AL117" s="50"/>
      <c r="AM117" s="50"/>
      <c r="AN117" s="50"/>
      <c r="AO117" s="50"/>
      <c r="AP117" s="50"/>
      <c r="AQ117" s="50"/>
      <c r="AR117" s="50"/>
      <c r="AS117" s="50"/>
      <c r="AT117" s="50"/>
      <c r="AU117" s="50"/>
      <c r="AV117" s="50"/>
      <c r="AW117" s="50"/>
      <c r="AX117" s="52"/>
      <c r="AY117" s="52"/>
      <c r="AZ117" s="58"/>
      <c r="BA117" s="58"/>
      <c r="BB117" s="58"/>
      <c r="BC117" s="58"/>
      <c r="BD117" s="58"/>
      <c r="BE117" s="52"/>
      <c r="BF117" s="52"/>
      <c r="BG117" s="58"/>
      <c r="BH117" s="65"/>
      <c r="BI117" s="65"/>
      <c r="BJ117" s="65"/>
      <c r="BK117" s="65"/>
      <c r="BL117" s="39"/>
      <c r="BM117" s="39"/>
      <c r="BN117" s="39"/>
      <c r="BO117" s="534"/>
      <c r="BP117" s="39">
        <f t="shared" si="86"/>
        <v>0</v>
      </c>
      <c r="BQ117" s="51"/>
      <c r="BR117" s="99" t="e">
        <f t="shared" si="87"/>
        <v>#DIV/0!</v>
      </c>
      <c r="BS117" s="39"/>
      <c r="BT117" s="50"/>
      <c r="BU117" s="50"/>
      <c r="BV117" s="50"/>
      <c r="BW117" s="280">
        <f t="shared" si="127"/>
        <v>0</v>
      </c>
      <c r="BX117" s="39">
        <f t="shared" si="112"/>
        <v>0</v>
      </c>
      <c r="BY117" s="51" t="e">
        <f t="shared" si="113"/>
        <v>#DIV/0!</v>
      </c>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c r="DE117" s="50"/>
      <c r="DF117" s="50"/>
      <c r="DG117" s="50"/>
      <c r="DH117" s="50"/>
      <c r="DI117" s="50"/>
      <c r="DJ117" s="50"/>
      <c r="DK117" s="50"/>
      <c r="DL117" s="50"/>
      <c r="DM117" s="50"/>
      <c r="DN117" s="50"/>
      <c r="DO117" s="50"/>
      <c r="DP117" s="50"/>
      <c r="DQ117" s="50"/>
      <c r="DR117" s="50"/>
      <c r="DS117" s="50"/>
      <c r="DT117" s="50"/>
      <c r="DU117" s="50"/>
      <c r="DV117" s="50"/>
      <c r="DW117" s="50"/>
      <c r="DX117" s="50"/>
      <c r="DY117" s="50"/>
      <c r="DZ117" s="50"/>
      <c r="EA117" s="50"/>
      <c r="EB117" s="50"/>
      <c r="EC117" s="50"/>
      <c r="ED117" s="50"/>
      <c r="EE117" s="50"/>
      <c r="EF117" s="50"/>
      <c r="EG117" s="50"/>
      <c r="EH117" s="50"/>
      <c r="EI117" s="50"/>
      <c r="EJ117" s="50"/>
      <c r="EK117" s="50"/>
      <c r="EL117" s="50"/>
      <c r="EM117" s="50"/>
      <c r="EN117" s="50"/>
      <c r="EO117" s="50"/>
      <c r="EP117" s="50"/>
      <c r="EQ117" s="50"/>
      <c r="ER117" s="50"/>
      <c r="ES117" s="50"/>
      <c r="ET117" s="50"/>
      <c r="EU117" s="50"/>
      <c r="EV117" s="50"/>
      <c r="EW117" s="50"/>
      <c r="EX117" s="50"/>
      <c r="EY117" s="50"/>
      <c r="EZ117" s="50"/>
      <c r="FA117" s="50"/>
      <c r="FB117" s="50"/>
      <c r="FC117" s="50"/>
      <c r="FD117" s="50"/>
      <c r="FE117" s="50"/>
      <c r="FF117" s="50"/>
      <c r="FG117" s="50"/>
      <c r="FH117" s="50"/>
      <c r="FI117" s="50"/>
      <c r="FJ117" s="50"/>
      <c r="FK117" s="50"/>
      <c r="FL117" s="50"/>
      <c r="FM117" s="50"/>
      <c r="FN117" s="50"/>
      <c r="FO117" s="50"/>
      <c r="FP117" s="50"/>
      <c r="FQ117" s="50"/>
      <c r="FR117" s="50"/>
      <c r="FS117" s="50"/>
      <c r="FT117" s="50"/>
      <c r="FU117" s="50"/>
      <c r="FV117" s="50"/>
      <c r="FW117" s="50"/>
      <c r="FX117" s="50"/>
      <c r="FY117" s="50"/>
      <c r="FZ117" s="50"/>
      <c r="GA117" s="50"/>
      <c r="GB117" s="50"/>
      <c r="GC117" s="50"/>
      <c r="GD117" s="50"/>
      <c r="GE117" s="50"/>
      <c r="GF117" s="50"/>
      <c r="GG117" s="50"/>
      <c r="GH117" s="50"/>
      <c r="GI117" s="50"/>
      <c r="GJ117" s="50"/>
      <c r="GK117" s="50"/>
      <c r="GL117" s="50"/>
      <c r="GM117" s="50"/>
      <c r="GN117" s="50"/>
      <c r="GO117" s="50"/>
      <c r="GP117" s="50"/>
      <c r="GQ117" s="50"/>
      <c r="GR117" s="50"/>
      <c r="GS117" s="50"/>
      <c r="GT117" s="50"/>
      <c r="GU117" s="50"/>
      <c r="GV117" s="50"/>
      <c r="GW117" s="50"/>
      <c r="GX117" s="50"/>
      <c r="GY117" s="50"/>
      <c r="GZ117" s="50"/>
      <c r="HA117" s="50"/>
      <c r="HB117" s="50"/>
      <c r="HC117" s="50"/>
      <c r="HD117" s="50"/>
      <c r="HE117" s="50"/>
      <c r="HF117" s="50"/>
      <c r="HG117" s="50"/>
      <c r="HH117" s="50"/>
      <c r="HI117" s="50"/>
      <c r="HJ117" s="50"/>
      <c r="HK117" s="50"/>
      <c r="HL117" s="50"/>
      <c r="HM117" s="50"/>
      <c r="HN117" s="50"/>
      <c r="HO117" s="50"/>
      <c r="HP117" s="50"/>
      <c r="HQ117" s="50"/>
      <c r="HR117" s="50"/>
      <c r="HS117" s="50"/>
      <c r="HT117" s="50"/>
      <c r="HU117" s="50"/>
      <c r="HV117" s="50"/>
      <c r="HW117" s="50"/>
      <c r="HX117" s="50"/>
      <c r="HY117" s="50"/>
      <c r="HZ117" s="50"/>
      <c r="IA117" s="50"/>
      <c r="IB117" s="50"/>
      <c r="IC117" s="50"/>
      <c r="ID117" s="50"/>
    </row>
    <row r="118" spans="1:238" ht="18" customHeight="1">
      <c r="A118" s="73" t="s">
        <v>412</v>
      </c>
      <c r="D118" s="323"/>
      <c r="E118" s="352"/>
      <c r="G118" s="10"/>
      <c r="J118" s="10"/>
      <c r="L118" s="63"/>
      <c r="M118" s="63"/>
      <c r="N118" s="72"/>
      <c r="O118" s="63"/>
      <c r="P118" s="63"/>
      <c r="Q118" s="72"/>
      <c r="R118" s="52"/>
      <c r="S118" s="52"/>
      <c r="T118" s="58"/>
      <c r="U118" s="52"/>
      <c r="V118" s="52"/>
      <c r="W118" s="58"/>
      <c r="AB118" s="172"/>
      <c r="BH118" s="65"/>
      <c r="BI118" s="65"/>
      <c r="BJ118" s="65"/>
      <c r="BK118" s="65"/>
      <c r="BL118" s="39"/>
      <c r="BM118" s="39"/>
      <c r="BN118" s="39"/>
      <c r="BO118" s="534"/>
      <c r="BP118" s="39">
        <f t="shared" si="86"/>
        <v>0</v>
      </c>
      <c r="BQ118" s="51"/>
      <c r="BR118" s="99" t="e">
        <f t="shared" si="87"/>
        <v>#DIV/0!</v>
      </c>
      <c r="BW118" s="280">
        <f t="shared" si="127"/>
        <v>0</v>
      </c>
      <c r="BX118" s="39">
        <f t="shared" si="112"/>
        <v>0</v>
      </c>
      <c r="BY118" s="51" t="e">
        <f t="shared" si="113"/>
        <v>#DIV/0!</v>
      </c>
    </row>
    <row r="119" spans="1:238" s="109" customFormat="1" ht="18" customHeight="1">
      <c r="A119" s="116" t="s">
        <v>52</v>
      </c>
      <c r="D119" s="354"/>
      <c r="E119" s="357"/>
      <c r="G119" s="358"/>
      <c r="H119" s="360"/>
      <c r="J119" s="358"/>
      <c r="K119" s="360"/>
      <c r="L119" s="105"/>
      <c r="M119" s="105"/>
      <c r="N119" s="117"/>
      <c r="O119" s="105"/>
      <c r="P119" s="105"/>
      <c r="Q119" s="117"/>
      <c r="R119" s="107"/>
      <c r="S119" s="107"/>
      <c r="T119" s="125"/>
      <c r="U119" s="107"/>
      <c r="V119" s="107"/>
      <c r="W119" s="125"/>
      <c r="X119" s="175"/>
      <c r="Y119" s="158"/>
      <c r="Z119" s="111"/>
      <c r="AA119" s="201"/>
      <c r="AB119" s="170"/>
      <c r="AC119" s="113"/>
      <c r="AF119" s="107"/>
      <c r="AG119" s="107"/>
      <c r="AX119" s="107"/>
      <c r="AY119" s="107"/>
      <c r="AZ119" s="125"/>
      <c r="BA119" s="125"/>
      <c r="BB119" s="125"/>
      <c r="BC119" s="125"/>
      <c r="BD119" s="125"/>
      <c r="BE119" s="107"/>
      <c r="BF119" s="107"/>
      <c r="BG119" s="125"/>
      <c r="BH119" s="110"/>
      <c r="BI119" s="110"/>
      <c r="BJ119" s="110"/>
      <c r="BK119" s="110"/>
      <c r="BL119" s="554"/>
      <c r="BM119" s="554"/>
      <c r="BN119" s="554"/>
      <c r="BO119" s="680"/>
      <c r="BP119" s="39">
        <f t="shared" si="86"/>
        <v>0</v>
      </c>
      <c r="BQ119" s="108"/>
      <c r="BR119" s="99" t="e">
        <f t="shared" si="87"/>
        <v>#DIV/0!</v>
      </c>
      <c r="BS119" s="554"/>
      <c r="BW119" s="298"/>
      <c r="BX119" s="554"/>
      <c r="BY119" s="108"/>
    </row>
    <row r="120" spans="1:238" s="79" customFormat="1" ht="18" customHeight="1">
      <c r="A120" s="53" t="s">
        <v>182</v>
      </c>
      <c r="B120" s="601" t="s">
        <v>78</v>
      </c>
      <c r="C120" s="601" t="s">
        <v>78</v>
      </c>
      <c r="D120" s="601" t="s">
        <v>78</v>
      </c>
      <c r="E120" s="601" t="s">
        <v>78</v>
      </c>
      <c r="F120" s="601" t="s">
        <v>78</v>
      </c>
      <c r="G120" s="601" t="s">
        <v>78</v>
      </c>
      <c r="H120" s="601" t="s">
        <v>78</v>
      </c>
      <c r="I120" s="601" t="s">
        <v>78</v>
      </c>
      <c r="J120" s="601" t="s">
        <v>78</v>
      </c>
      <c r="K120" s="601" t="s">
        <v>78</v>
      </c>
      <c r="L120" s="24">
        <v>0</v>
      </c>
      <c r="M120" s="24">
        <v>0</v>
      </c>
      <c r="N120" s="37" t="s">
        <v>78</v>
      </c>
      <c r="O120" s="24">
        <v>0</v>
      </c>
      <c r="P120" s="24">
        <v>0</v>
      </c>
      <c r="Q120" s="37" t="s">
        <v>78</v>
      </c>
      <c r="R120" s="24">
        <v>0</v>
      </c>
      <c r="S120" s="24">
        <v>0</v>
      </c>
      <c r="T120" s="37" t="s">
        <v>78</v>
      </c>
      <c r="U120" s="24">
        <v>0</v>
      </c>
      <c r="V120" s="24">
        <v>0</v>
      </c>
      <c r="W120" s="37" t="s">
        <v>78</v>
      </c>
      <c r="X120" s="176">
        <v>2467</v>
      </c>
      <c r="Y120" s="155">
        <f t="shared" ref="Y120:Y133" si="128">X120-U120</f>
        <v>2467</v>
      </c>
      <c r="Z120" s="96"/>
      <c r="AA120" s="205">
        <v>4892</v>
      </c>
      <c r="AB120" s="583">
        <f t="shared" ref="AB120:AB133" si="129">AA120-X120</f>
        <v>2425</v>
      </c>
      <c r="AC120" s="584">
        <f t="shared" ref="AC120:AC129" si="130">AB120/X120</f>
        <v>0.98297527361167414</v>
      </c>
      <c r="AD120" s="79">
        <v>778</v>
      </c>
      <c r="AF120" s="62">
        <v>823</v>
      </c>
      <c r="AG120" s="62">
        <f t="shared" ref="AG120:AG131" si="131">AF120-AA120</f>
        <v>-4069</v>
      </c>
      <c r="AH120" s="241">
        <f t="shared" ref="AH120:AH131" si="132">AG120/AA120</f>
        <v>-0.83176614881439082</v>
      </c>
      <c r="AI120" s="79">
        <v>778</v>
      </c>
      <c r="AJ120" s="79">
        <v>778</v>
      </c>
      <c r="AK120" s="79">
        <v>795</v>
      </c>
      <c r="AM120" s="202">
        <f t="shared" ref="AM120:AM132" si="133">+AL120+AK120</f>
        <v>795</v>
      </c>
      <c r="AN120" s="519">
        <v>2510</v>
      </c>
      <c r="AO120" s="519">
        <v>2510</v>
      </c>
      <c r="AP120" s="537">
        <v>31</v>
      </c>
      <c r="AQ120" s="537">
        <v>17</v>
      </c>
      <c r="AR120" s="78">
        <f>AP120+AQ120</f>
        <v>48</v>
      </c>
      <c r="AS120" s="78">
        <f>BB120+AR120</f>
        <v>1262.3665699999999</v>
      </c>
      <c r="AT120" s="78">
        <f>AS120-AF120</f>
        <v>439.36656999999991</v>
      </c>
      <c r="AU120" s="260">
        <f>AT120/AF120</f>
        <v>0.53385974483596588</v>
      </c>
      <c r="AV120" s="78">
        <f t="shared" ref="AV120:AV131" si="134">AS120-AF120</f>
        <v>439.36656999999991</v>
      </c>
      <c r="AW120" s="260">
        <f t="shared" ref="AW120:AW131" si="135">AV120/AF120</f>
        <v>0.53385974483596588</v>
      </c>
      <c r="AX120" s="62">
        <v>1227</v>
      </c>
      <c r="AY120" s="62">
        <f t="shared" si="88"/>
        <v>404</v>
      </c>
      <c r="AZ120" s="241">
        <f t="shared" si="89"/>
        <v>0.49088699878493319</v>
      </c>
      <c r="BA120" s="617">
        <v>1293.08599</v>
      </c>
      <c r="BB120" s="666">
        <v>1214.3665699999999</v>
      </c>
      <c r="BC120" s="666">
        <f>BA120-BB120</f>
        <v>78.719420000000127</v>
      </c>
      <c r="BD120" s="667">
        <f>BC120/BA120</f>
        <v>6.0877173373442957E-2</v>
      </c>
      <c r="BE120" s="668">
        <v>1912</v>
      </c>
      <c r="BF120" s="668">
        <f t="shared" ref="BF120:BF133" si="136">BE120-AX120</f>
        <v>685</v>
      </c>
      <c r="BG120" s="669">
        <f t="shared" ref="BG120:BG133" si="137">BF120/AX120</f>
        <v>0.55827220863895677</v>
      </c>
      <c r="BH120" s="670"/>
      <c r="BI120" s="670"/>
      <c r="BJ120" s="670"/>
      <c r="BK120" s="670">
        <v>5</v>
      </c>
      <c r="BL120" s="671">
        <f t="shared" si="90"/>
        <v>1917</v>
      </c>
      <c r="BM120" s="671">
        <f t="shared" ref="BM120:BM133" si="138">BL120-AS120</f>
        <v>654.63343000000009</v>
      </c>
      <c r="BN120" s="671">
        <v>1803</v>
      </c>
      <c r="BO120" s="681">
        <v>2303</v>
      </c>
      <c r="BP120" s="39">
        <f t="shared" si="86"/>
        <v>391</v>
      </c>
      <c r="BQ120" s="662">
        <f t="shared" ref="BQ120:BQ133" si="139">BM120/AS120</f>
        <v>0.51857633555679483</v>
      </c>
      <c r="BR120" s="99">
        <f t="shared" si="87"/>
        <v>0.20449790794979081</v>
      </c>
      <c r="BS120" s="487"/>
      <c r="BV120" s="79">
        <v>0</v>
      </c>
      <c r="BW120" s="280">
        <f t="shared" ref="BW120:BW132" si="140">BN120+BS120+BT120+BU120+BV120</f>
        <v>1803</v>
      </c>
      <c r="BX120" s="39">
        <f t="shared" ref="BX120:BX144" si="141">BW120-BL120</f>
        <v>-114</v>
      </c>
      <c r="BY120" s="51">
        <f t="shared" ref="BY120:BY144" si="142">BX120/BL120</f>
        <v>-5.9467918622848198E-2</v>
      </c>
    </row>
    <row r="121" spans="1:238" ht="18" customHeight="1">
      <c r="A121" s="53" t="s">
        <v>132</v>
      </c>
      <c r="B121" s="323">
        <f>604098+4717</f>
        <v>608815</v>
      </c>
      <c r="C121" s="323">
        <f>737128+4904</f>
        <v>742032</v>
      </c>
      <c r="D121" s="323">
        <f t="shared" ref="D121:D181" si="143">C121-B121</f>
        <v>133217</v>
      </c>
      <c r="E121" s="352">
        <f t="shared" ref="E121:E181" si="144">(C121-B121)/B121</f>
        <v>0.2188135969054639</v>
      </c>
      <c r="F121" s="10">
        <f>740706+5757</f>
        <v>746463</v>
      </c>
      <c r="G121" s="10">
        <f t="shared" ref="G121:G181" si="145">F121-C121</f>
        <v>4431</v>
      </c>
      <c r="H121" s="14">
        <f t="shared" ref="H121:H181" si="146">(F121-C121)/C121</f>
        <v>5.9714405847726242E-3</v>
      </c>
      <c r="I121" s="10">
        <f>711890+6630</f>
        <v>718520</v>
      </c>
      <c r="J121" s="10">
        <f t="shared" ref="J121:J181" si="147">I121-F121</f>
        <v>-27943</v>
      </c>
      <c r="K121" s="14">
        <f t="shared" ref="K121:K181" si="148">(I121-F121)/F121</f>
        <v>-3.7433871471191475E-2</v>
      </c>
      <c r="L121" s="52">
        <v>775465</v>
      </c>
      <c r="M121" s="24">
        <v>56944</v>
      </c>
      <c r="N121" s="37">
        <v>7.9251685058613464E-2</v>
      </c>
      <c r="O121" s="52">
        <v>788733</v>
      </c>
      <c r="P121" s="52">
        <f t="shared" ref="P121:P127" si="149">O121-L121</f>
        <v>13268</v>
      </c>
      <c r="Q121" s="72">
        <f>P121/L121</f>
        <v>1.7109734159504297E-2</v>
      </c>
      <c r="R121" s="69">
        <v>819223</v>
      </c>
      <c r="S121" s="69">
        <f t="shared" ref="S121:S133" si="150">R121-O121</f>
        <v>30490</v>
      </c>
      <c r="T121" s="72">
        <f t="shared" ref="T121:T126" si="151">S121/O121</f>
        <v>3.8656934602710927E-2</v>
      </c>
      <c r="U121" s="69">
        <v>827796</v>
      </c>
      <c r="V121" s="69">
        <f>U121-R121</f>
        <v>8573</v>
      </c>
      <c r="W121" s="72">
        <f t="shared" ref="W121:W126" si="152">V121/R121</f>
        <v>1.0464794079267793E-2</v>
      </c>
      <c r="X121" s="176">
        <v>874214</v>
      </c>
      <c r="Y121" s="69">
        <f t="shared" si="128"/>
        <v>46418</v>
      </c>
      <c r="Z121" s="96">
        <f t="shared" ref="Z121:Z126" si="153">Y121/U121</f>
        <v>5.6074201856496045E-2</v>
      </c>
      <c r="AA121" s="205">
        <v>565780</v>
      </c>
      <c r="AB121" s="172">
        <f t="shared" si="129"/>
        <v>-308434</v>
      </c>
      <c r="AC121" s="100">
        <f t="shared" si="130"/>
        <v>-0.35281292681197052</v>
      </c>
      <c r="AD121" s="219">
        <f>510881</f>
        <v>510881</v>
      </c>
      <c r="AE121" s="65">
        <v>4005</v>
      </c>
      <c r="AF121" s="62">
        <v>522828</v>
      </c>
      <c r="AG121" s="52">
        <f t="shared" si="131"/>
        <v>-42952</v>
      </c>
      <c r="AH121" s="58">
        <f t="shared" si="132"/>
        <v>-7.5916433949591716E-2</v>
      </c>
      <c r="AI121" s="65">
        <f>AF121-10898</f>
        <v>511930</v>
      </c>
      <c r="AJ121" s="65">
        <f>AF121-9739</f>
        <v>513089</v>
      </c>
      <c r="AK121" s="50">
        <v>550548</v>
      </c>
      <c r="AL121" s="220"/>
      <c r="AM121" s="256">
        <f t="shared" si="133"/>
        <v>550548</v>
      </c>
      <c r="AN121" s="27">
        <v>563538</v>
      </c>
      <c r="AO121" s="27">
        <v>568044</v>
      </c>
      <c r="AP121" s="219"/>
      <c r="AQ121" s="219"/>
      <c r="AR121" s="78">
        <f t="shared" ref="AR121:AR132" si="154">AP121+AQ121</f>
        <v>0</v>
      </c>
      <c r="AS121" s="78">
        <f t="shared" ref="AS121:AS132" si="155">BB121+AR121</f>
        <v>589196.84681000002</v>
      </c>
      <c r="AT121" s="78">
        <f t="shared" ref="AT121:AT133" si="156">AS121-AF121</f>
        <v>66368.846810000017</v>
      </c>
      <c r="AU121" s="99">
        <f t="shared" ref="AU121:AU133" si="157">AT121/AF121</f>
        <v>0.1269420283726197</v>
      </c>
      <c r="AV121" s="78">
        <f t="shared" si="134"/>
        <v>66368.846810000017</v>
      </c>
      <c r="AW121" s="260">
        <f t="shared" si="135"/>
        <v>0.1269420283726197</v>
      </c>
      <c r="AX121" s="52">
        <f>(549309+11000)-900</f>
        <v>559409</v>
      </c>
      <c r="AY121" s="52">
        <f>AX121-AF121</f>
        <v>36581</v>
      </c>
      <c r="AZ121" s="58">
        <f t="shared" si="89"/>
        <v>6.9967561033456513E-2</v>
      </c>
      <c r="BA121" s="616">
        <f>585840.39891+4989.8188</f>
        <v>590830.21771</v>
      </c>
      <c r="BB121" s="666">
        <f>585840.39891+3356.4479</f>
        <v>589196.84681000002</v>
      </c>
      <c r="BC121" s="666">
        <f t="shared" ref="BC121:BC132" si="158">BA121-BB121</f>
        <v>1633.3708999999799</v>
      </c>
      <c r="BD121" s="667">
        <f t="shared" ref="BD121:BD132" si="159">BC121/BA121</f>
        <v>2.7645351423134135E-3</v>
      </c>
      <c r="BE121" s="668">
        <f>611817+11680</f>
        <v>623497</v>
      </c>
      <c r="BF121" s="668">
        <f t="shared" si="136"/>
        <v>64088</v>
      </c>
      <c r="BG121" s="669">
        <f t="shared" si="137"/>
        <v>0.11456376282827055</v>
      </c>
      <c r="BH121" s="670"/>
      <c r="BI121" s="670"/>
      <c r="BJ121" s="670"/>
      <c r="BK121" s="670"/>
      <c r="BL121" s="671">
        <f t="shared" si="90"/>
        <v>623497</v>
      </c>
      <c r="BM121" s="671">
        <f t="shared" si="138"/>
        <v>34300.153189999983</v>
      </c>
      <c r="BN121" s="671">
        <v>657784</v>
      </c>
      <c r="BO121" s="681">
        <v>657984</v>
      </c>
      <c r="BP121" s="39">
        <f t="shared" si="86"/>
        <v>34487</v>
      </c>
      <c r="BQ121" s="662">
        <f t="shared" si="139"/>
        <v>5.8215099717023523E-2</v>
      </c>
      <c r="BR121" s="99">
        <f t="shared" si="87"/>
        <v>5.5312214814185155E-2</v>
      </c>
      <c r="BS121" s="39">
        <v>44881</v>
      </c>
      <c r="BV121" s="50">
        <v>152</v>
      </c>
      <c r="BW121" s="280">
        <f t="shared" si="140"/>
        <v>702817</v>
      </c>
      <c r="BX121" s="39">
        <f t="shared" si="141"/>
        <v>79320</v>
      </c>
      <c r="BY121" s="51">
        <f t="shared" si="142"/>
        <v>0.12721793368693032</v>
      </c>
    </row>
    <row r="122" spans="1:238" ht="18" customHeight="1">
      <c r="A122" s="53" t="s">
        <v>19</v>
      </c>
      <c r="B122" s="323">
        <v>10700</v>
      </c>
      <c r="C122" s="323">
        <v>200</v>
      </c>
      <c r="D122" s="323">
        <f t="shared" si="143"/>
        <v>-10500</v>
      </c>
      <c r="E122" s="352">
        <f t="shared" si="144"/>
        <v>-0.98130841121495327</v>
      </c>
      <c r="F122" s="10">
        <v>0</v>
      </c>
      <c r="G122" s="10">
        <f t="shared" si="145"/>
        <v>-200</v>
      </c>
      <c r="H122" s="14">
        <f t="shared" si="146"/>
        <v>-1</v>
      </c>
      <c r="I122" s="10">
        <v>0</v>
      </c>
      <c r="J122" s="10">
        <f t="shared" si="147"/>
        <v>0</v>
      </c>
      <c r="K122" s="14" t="e">
        <f t="shared" si="148"/>
        <v>#DIV/0!</v>
      </c>
      <c r="L122" s="52">
        <v>0</v>
      </c>
      <c r="M122" s="24">
        <v>0</v>
      </c>
      <c r="N122" s="37" t="s">
        <v>78</v>
      </c>
      <c r="O122" s="52">
        <v>9147</v>
      </c>
      <c r="P122" s="52">
        <f t="shared" si="149"/>
        <v>9147</v>
      </c>
      <c r="Q122" s="70" t="s">
        <v>78</v>
      </c>
      <c r="R122" s="69">
        <v>15431</v>
      </c>
      <c r="S122" s="69">
        <f t="shared" si="150"/>
        <v>6284</v>
      </c>
      <c r="T122" s="72">
        <f t="shared" si="151"/>
        <v>0.68700120258008091</v>
      </c>
      <c r="U122" s="69">
        <v>14540</v>
      </c>
      <c r="V122" s="69">
        <f t="shared" ref="V122:V127" si="160">U122-R122</f>
        <v>-891</v>
      </c>
      <c r="W122" s="72">
        <f t="shared" si="152"/>
        <v>-5.7740911152874087E-2</v>
      </c>
      <c r="X122" s="176">
        <v>5964</v>
      </c>
      <c r="Y122" s="69">
        <f t="shared" si="128"/>
        <v>-8576</v>
      </c>
      <c r="Z122" s="96">
        <f t="shared" si="153"/>
        <v>-0.58982118294360386</v>
      </c>
      <c r="AA122" s="202">
        <v>0</v>
      </c>
      <c r="AB122" s="172">
        <f t="shared" si="129"/>
        <v>-5964</v>
      </c>
      <c r="AC122" s="100">
        <f t="shared" si="130"/>
        <v>-1</v>
      </c>
      <c r="AD122" s="65">
        <v>3000</v>
      </c>
      <c r="AE122" s="65"/>
      <c r="AF122" s="62">
        <v>3000</v>
      </c>
      <c r="AG122" s="52">
        <f t="shared" si="131"/>
        <v>3000</v>
      </c>
      <c r="AH122" s="58" t="e">
        <f t="shared" si="132"/>
        <v>#DIV/0!</v>
      </c>
      <c r="AI122" s="65">
        <v>3000</v>
      </c>
      <c r="AJ122" s="50">
        <v>3000</v>
      </c>
      <c r="AK122" s="50">
        <v>3000</v>
      </c>
      <c r="AM122" s="256">
        <f t="shared" si="133"/>
        <v>3000</v>
      </c>
      <c r="AN122" s="27">
        <v>3000</v>
      </c>
      <c r="AO122" s="27">
        <v>3000</v>
      </c>
      <c r="AP122" s="65"/>
      <c r="AQ122" s="65"/>
      <c r="AR122" s="78">
        <f t="shared" si="154"/>
        <v>0</v>
      </c>
      <c r="AS122" s="78">
        <f t="shared" si="155"/>
        <v>3000</v>
      </c>
      <c r="AT122" s="78">
        <f t="shared" si="156"/>
        <v>0</v>
      </c>
      <c r="AU122" s="99">
        <f t="shared" si="157"/>
        <v>0</v>
      </c>
      <c r="AV122" s="78">
        <f t="shared" si="134"/>
        <v>0</v>
      </c>
      <c r="AW122" s="260">
        <f t="shared" si="135"/>
        <v>0</v>
      </c>
      <c r="AX122" s="52">
        <v>3000</v>
      </c>
      <c r="AY122" s="52">
        <f t="shared" si="88"/>
        <v>0</v>
      </c>
      <c r="AZ122" s="58">
        <f t="shared" si="89"/>
        <v>0</v>
      </c>
      <c r="BA122" s="616">
        <v>3000</v>
      </c>
      <c r="BB122" s="666">
        <v>3000</v>
      </c>
      <c r="BC122" s="666">
        <f t="shared" si="158"/>
        <v>0</v>
      </c>
      <c r="BD122" s="667">
        <f t="shared" si="159"/>
        <v>0</v>
      </c>
      <c r="BE122" s="668">
        <v>3000</v>
      </c>
      <c r="BF122" s="668">
        <f t="shared" si="136"/>
        <v>0</v>
      </c>
      <c r="BG122" s="669">
        <f t="shared" si="137"/>
        <v>0</v>
      </c>
      <c r="BH122" s="670"/>
      <c r="BI122" s="670"/>
      <c r="BJ122" s="670"/>
      <c r="BK122" s="670"/>
      <c r="BL122" s="671">
        <f t="shared" si="90"/>
        <v>3000</v>
      </c>
      <c r="BM122" s="671">
        <f t="shared" si="138"/>
        <v>0</v>
      </c>
      <c r="BN122" s="671">
        <v>6407</v>
      </c>
      <c r="BO122" s="681">
        <v>6407</v>
      </c>
      <c r="BP122" s="39">
        <f t="shared" si="86"/>
        <v>3407</v>
      </c>
      <c r="BQ122" s="662">
        <f t="shared" si="139"/>
        <v>0</v>
      </c>
      <c r="BR122" s="99">
        <f t="shared" si="87"/>
        <v>1.1356666666666666</v>
      </c>
      <c r="BW122" s="280">
        <f t="shared" si="140"/>
        <v>6407</v>
      </c>
      <c r="BX122" s="39">
        <f t="shared" si="141"/>
        <v>3407</v>
      </c>
      <c r="BY122" s="51">
        <f t="shared" si="142"/>
        <v>1.1356666666666666</v>
      </c>
    </row>
    <row r="123" spans="1:238" ht="18" customHeight="1">
      <c r="A123" s="59" t="s">
        <v>178</v>
      </c>
      <c r="B123" s="324">
        <v>23597</v>
      </c>
      <c r="C123" s="324">
        <f>2362+23112</f>
        <v>25474</v>
      </c>
      <c r="D123" s="323">
        <f t="shared" si="143"/>
        <v>1877</v>
      </c>
      <c r="E123" s="352">
        <f t="shared" si="144"/>
        <v>7.9544009831758272E-2</v>
      </c>
      <c r="F123" s="10">
        <f>4216+234+22237</f>
        <v>26687</v>
      </c>
      <c r="G123" s="10">
        <f t="shared" si="145"/>
        <v>1213</v>
      </c>
      <c r="H123" s="14">
        <f t="shared" si="146"/>
        <v>4.7617178299442571E-2</v>
      </c>
      <c r="I123" s="10">
        <f>5247+146+21887</f>
        <v>27280</v>
      </c>
      <c r="J123" s="10">
        <f t="shared" si="147"/>
        <v>593</v>
      </c>
      <c r="K123" s="14">
        <f t="shared" si="148"/>
        <v>2.2220556825420616E-2</v>
      </c>
      <c r="L123" s="52">
        <f>11324+23193</f>
        <v>34517</v>
      </c>
      <c r="M123" s="24">
        <v>5931</v>
      </c>
      <c r="N123" s="37">
        <v>1.0997589467828668</v>
      </c>
      <c r="O123" s="52">
        <f>10084+33913</f>
        <v>43997</v>
      </c>
      <c r="P123" s="52">
        <f t="shared" si="149"/>
        <v>9480</v>
      </c>
      <c r="Q123" s="72">
        <f>P123/L123</f>
        <v>0.27464727525567112</v>
      </c>
      <c r="R123" s="69">
        <f>12755+54866</f>
        <v>67621</v>
      </c>
      <c r="S123" s="69">
        <f t="shared" si="150"/>
        <v>23624</v>
      </c>
      <c r="T123" s="72">
        <f t="shared" si="151"/>
        <v>0.53694570084323934</v>
      </c>
      <c r="U123" s="69">
        <f>14587+44911</f>
        <v>59498</v>
      </c>
      <c r="V123" s="69">
        <f t="shared" si="160"/>
        <v>-8123</v>
      </c>
      <c r="W123" s="72">
        <f t="shared" si="152"/>
        <v>-0.12012540482986055</v>
      </c>
      <c r="X123" s="176">
        <v>103135</v>
      </c>
      <c r="Y123" s="69">
        <f t="shared" si="128"/>
        <v>43637</v>
      </c>
      <c r="Z123" s="96">
        <f t="shared" si="153"/>
        <v>0.73341961074321826</v>
      </c>
      <c r="AA123" s="202">
        <v>128111</v>
      </c>
      <c r="AB123" s="172">
        <f t="shared" si="129"/>
        <v>24976</v>
      </c>
      <c r="AC123" s="100">
        <f t="shared" si="130"/>
        <v>0.24216803219081787</v>
      </c>
      <c r="AD123" s="65">
        <v>111990</v>
      </c>
      <c r="AE123" s="65">
        <v>10728</v>
      </c>
      <c r="AF123" s="62">
        <v>109862</v>
      </c>
      <c r="AG123" s="52">
        <f t="shared" si="131"/>
        <v>-18249</v>
      </c>
      <c r="AH123" s="58">
        <f t="shared" si="132"/>
        <v>-0.14244678442912787</v>
      </c>
      <c r="AI123" s="65">
        <f>AD123-4201</f>
        <v>107789</v>
      </c>
      <c r="AJ123" s="65">
        <f>AF123-3809</f>
        <v>106053</v>
      </c>
      <c r="AK123" s="50">
        <v>116890</v>
      </c>
      <c r="AL123" s="220"/>
      <c r="AM123" s="256">
        <f t="shared" si="133"/>
        <v>116890</v>
      </c>
      <c r="AN123" s="27">
        <v>106553</v>
      </c>
      <c r="AO123" s="27">
        <v>116879</v>
      </c>
      <c r="AP123" s="219"/>
      <c r="AQ123" s="219"/>
      <c r="AR123" s="78">
        <f t="shared" si="154"/>
        <v>0</v>
      </c>
      <c r="AS123" s="78">
        <f t="shared" si="155"/>
        <v>101165.7656</v>
      </c>
      <c r="AT123" s="78">
        <f t="shared" si="156"/>
        <v>-8696.2344000000012</v>
      </c>
      <c r="AU123" s="99">
        <f t="shared" si="157"/>
        <v>-7.9155981139975615E-2</v>
      </c>
      <c r="AV123" s="78">
        <f t="shared" si="134"/>
        <v>-8696.2344000000012</v>
      </c>
      <c r="AW123" s="260">
        <f t="shared" si="135"/>
        <v>-7.9155981139975615E-2</v>
      </c>
      <c r="AX123" s="52">
        <v>122698</v>
      </c>
      <c r="AY123" s="52">
        <f t="shared" si="88"/>
        <v>12836</v>
      </c>
      <c r="AZ123" s="58">
        <f t="shared" si="89"/>
        <v>0.11683748702918206</v>
      </c>
      <c r="BA123" s="616">
        <f>106604.73554+3793.97242</f>
        <v>110398.70796</v>
      </c>
      <c r="BB123" s="666">
        <f>100915.77599+249.98961</f>
        <v>101165.7656</v>
      </c>
      <c r="BC123" s="666">
        <f t="shared" si="158"/>
        <v>9232.9423600000009</v>
      </c>
      <c r="BD123" s="667">
        <f t="shared" si="159"/>
        <v>8.3632703050703361E-2</v>
      </c>
      <c r="BE123" s="668">
        <f>90856+13076</f>
        <v>103932</v>
      </c>
      <c r="BF123" s="668">
        <f t="shared" si="136"/>
        <v>-18766</v>
      </c>
      <c r="BG123" s="669">
        <f t="shared" si="137"/>
        <v>-0.1529446282742995</v>
      </c>
      <c r="BH123" s="670"/>
      <c r="BI123" s="670"/>
      <c r="BJ123" s="670"/>
      <c r="BK123" s="670">
        <v>319</v>
      </c>
      <c r="BL123" s="671">
        <f t="shared" si="90"/>
        <v>104251</v>
      </c>
      <c r="BM123" s="671">
        <f t="shared" si="138"/>
        <v>3085.2344000000012</v>
      </c>
      <c r="BN123" s="671">
        <v>102506</v>
      </c>
      <c r="BO123" s="681">
        <v>105816</v>
      </c>
      <c r="BP123" s="39">
        <f t="shared" si="86"/>
        <v>1884</v>
      </c>
      <c r="BQ123" s="662">
        <f t="shared" si="139"/>
        <v>3.0496822533807831E-2</v>
      </c>
      <c r="BR123" s="99">
        <f t="shared" si="87"/>
        <v>1.8127237039602818E-2</v>
      </c>
      <c r="BS123" s="39">
        <v>4250</v>
      </c>
      <c r="BV123" s="50">
        <v>129</v>
      </c>
      <c r="BW123" s="280">
        <f t="shared" si="140"/>
        <v>106885</v>
      </c>
      <c r="BX123" s="39">
        <f t="shared" si="141"/>
        <v>2634</v>
      </c>
      <c r="BY123" s="51">
        <f t="shared" si="142"/>
        <v>2.5265944691178023E-2</v>
      </c>
    </row>
    <row r="124" spans="1:238" s="79" customFormat="1" ht="18" customHeight="1">
      <c r="A124" s="59" t="s">
        <v>20</v>
      </c>
      <c r="B124" s="323">
        <f>46480+3455</f>
        <v>49935</v>
      </c>
      <c r="C124" s="323">
        <f>136876-8</f>
        <v>136868</v>
      </c>
      <c r="D124" s="323">
        <f t="shared" si="143"/>
        <v>86933</v>
      </c>
      <c r="E124" s="352">
        <f t="shared" si="144"/>
        <v>1.7409232001602082</v>
      </c>
      <c r="F124" s="582">
        <v>97625</v>
      </c>
      <c r="G124" s="582">
        <f t="shared" si="145"/>
        <v>-39243</v>
      </c>
      <c r="H124" s="274">
        <f t="shared" si="146"/>
        <v>-0.28672151269836632</v>
      </c>
      <c r="I124" s="582">
        <v>114283</v>
      </c>
      <c r="J124" s="582">
        <f t="shared" si="147"/>
        <v>16658</v>
      </c>
      <c r="K124" s="274">
        <f t="shared" si="148"/>
        <v>0.17063252240717031</v>
      </c>
      <c r="L124" s="62">
        <v>161969</v>
      </c>
      <c r="M124" s="24">
        <v>47686</v>
      </c>
      <c r="N124" s="37">
        <v>0.41726240998223707</v>
      </c>
      <c r="O124" s="62">
        <v>188324</v>
      </c>
      <c r="P124" s="62">
        <f t="shared" si="149"/>
        <v>26355</v>
      </c>
      <c r="Q124" s="241">
        <f>P124/L124</f>
        <v>0.16271632225919774</v>
      </c>
      <c r="R124" s="62">
        <v>227190</v>
      </c>
      <c r="S124" s="62">
        <f t="shared" si="150"/>
        <v>38866</v>
      </c>
      <c r="T124" s="241">
        <f t="shared" si="151"/>
        <v>0.20637836919351754</v>
      </c>
      <c r="U124" s="62">
        <v>277159</v>
      </c>
      <c r="V124" s="62">
        <f t="shared" si="160"/>
        <v>49969</v>
      </c>
      <c r="W124" s="241">
        <f t="shared" si="152"/>
        <v>0.2199436594920551</v>
      </c>
      <c r="X124" s="166">
        <v>316675</v>
      </c>
      <c r="Y124" s="62">
        <f t="shared" si="128"/>
        <v>39516</v>
      </c>
      <c r="Z124" s="95">
        <f t="shared" si="153"/>
        <v>0.14257520051667094</v>
      </c>
      <c r="AA124" s="202">
        <v>366053</v>
      </c>
      <c r="AB124" s="583">
        <f t="shared" si="129"/>
        <v>49378</v>
      </c>
      <c r="AC124" s="584">
        <f t="shared" si="130"/>
        <v>0.15592642298886872</v>
      </c>
      <c r="AD124" s="78">
        <f>373969</f>
        <v>373969</v>
      </c>
      <c r="AE124" s="78"/>
      <c r="AF124" s="62">
        <v>375845</v>
      </c>
      <c r="AG124" s="62">
        <f t="shared" si="131"/>
        <v>9792</v>
      </c>
      <c r="AH124" s="241">
        <f t="shared" si="132"/>
        <v>2.6750224694238267E-2</v>
      </c>
      <c r="AI124" s="78">
        <f>AD124-15575</f>
        <v>358394</v>
      </c>
      <c r="AJ124" s="246">
        <f>AF124-15757</f>
        <v>360088</v>
      </c>
      <c r="AK124" s="245">
        <v>423039</v>
      </c>
      <c r="AL124" s="585"/>
      <c r="AM124" s="202">
        <f t="shared" si="133"/>
        <v>423039</v>
      </c>
      <c r="AN124" s="519">
        <v>433792</v>
      </c>
      <c r="AO124" s="519">
        <v>433792</v>
      </c>
      <c r="AP124" s="537">
        <v>0</v>
      </c>
      <c r="AQ124" s="537"/>
      <c r="AR124" s="78">
        <f t="shared" si="154"/>
        <v>0</v>
      </c>
      <c r="AS124" s="78">
        <f t="shared" si="155"/>
        <v>440368.37102000002</v>
      </c>
      <c r="AT124" s="78">
        <f t="shared" si="156"/>
        <v>64523.371020000021</v>
      </c>
      <c r="AU124" s="260">
        <f t="shared" si="157"/>
        <v>0.17167548063696475</v>
      </c>
      <c r="AV124" s="78">
        <f t="shared" si="134"/>
        <v>64523.371020000021</v>
      </c>
      <c r="AW124" s="260">
        <f t="shared" si="135"/>
        <v>0.17167548063696475</v>
      </c>
      <c r="AX124" s="202">
        <f>427839+7000</f>
        <v>434839</v>
      </c>
      <c r="AY124" s="62">
        <f t="shared" si="88"/>
        <v>58994</v>
      </c>
      <c r="AZ124" s="241">
        <f t="shared" si="89"/>
        <v>0.15696364192685813</v>
      </c>
      <c r="BA124" s="616">
        <v>440525.39600000001</v>
      </c>
      <c r="BB124" s="666">
        <v>440368.37102000002</v>
      </c>
      <c r="BC124" s="666">
        <f t="shared" si="158"/>
        <v>157.02497999998741</v>
      </c>
      <c r="BD124" s="667">
        <f t="shared" si="159"/>
        <v>3.5644932488747462E-4</v>
      </c>
      <c r="BE124" s="672">
        <v>483667</v>
      </c>
      <c r="BF124" s="668">
        <f t="shared" si="136"/>
        <v>48828</v>
      </c>
      <c r="BG124" s="669">
        <f t="shared" si="137"/>
        <v>0.11228983600826972</v>
      </c>
      <c r="BH124" s="670"/>
      <c r="BI124" s="670"/>
      <c r="BJ124" s="670"/>
      <c r="BK124" s="670"/>
      <c r="BL124" s="671">
        <f t="shared" si="90"/>
        <v>483667</v>
      </c>
      <c r="BM124" s="671">
        <f t="shared" si="138"/>
        <v>43298.628979999979</v>
      </c>
      <c r="BN124" s="671">
        <v>535364</v>
      </c>
      <c r="BO124" s="681">
        <v>535364</v>
      </c>
      <c r="BP124" s="39">
        <f t="shared" si="86"/>
        <v>51697</v>
      </c>
      <c r="BQ124" s="662">
        <f t="shared" si="139"/>
        <v>9.8323657713449877E-2</v>
      </c>
      <c r="BR124" s="99">
        <f t="shared" si="87"/>
        <v>0.10688552247724158</v>
      </c>
      <c r="BS124" s="487"/>
      <c r="BW124" s="280">
        <f t="shared" si="140"/>
        <v>535364</v>
      </c>
      <c r="BX124" s="39">
        <f t="shared" si="141"/>
        <v>51697</v>
      </c>
      <c r="BY124" s="51">
        <f t="shared" si="142"/>
        <v>0.10688552247724158</v>
      </c>
    </row>
    <row r="125" spans="1:238" ht="18" customHeight="1">
      <c r="A125" s="312" t="s">
        <v>143</v>
      </c>
      <c r="B125" s="322">
        <v>40491</v>
      </c>
      <c r="C125" s="322">
        <v>46933</v>
      </c>
      <c r="D125" s="323">
        <f t="shared" si="143"/>
        <v>6442</v>
      </c>
      <c r="E125" s="352">
        <f t="shared" si="144"/>
        <v>0.15909708330246228</v>
      </c>
      <c r="F125" s="10">
        <v>56068</v>
      </c>
      <c r="G125" s="10">
        <f t="shared" si="145"/>
        <v>9135</v>
      </c>
      <c r="H125" s="14">
        <f t="shared" si="146"/>
        <v>0.19463916647135279</v>
      </c>
      <c r="I125" s="10">
        <v>50544</v>
      </c>
      <c r="J125" s="10">
        <f t="shared" si="147"/>
        <v>-5524</v>
      </c>
      <c r="K125" s="14">
        <f t="shared" si="148"/>
        <v>-9.8523221802097452E-2</v>
      </c>
      <c r="L125" s="52">
        <v>50861</v>
      </c>
      <c r="M125" s="24">
        <v>15085</v>
      </c>
      <c r="N125" s="37">
        <v>0.29845283317505539</v>
      </c>
      <c r="O125" s="52">
        <v>51581</v>
      </c>
      <c r="P125" s="52">
        <f t="shared" si="149"/>
        <v>720</v>
      </c>
      <c r="Q125" s="58">
        <f>P125/L125</f>
        <v>1.4156229724150135E-2</v>
      </c>
      <c r="R125" s="52">
        <v>61266</v>
      </c>
      <c r="S125" s="52">
        <f t="shared" si="150"/>
        <v>9685</v>
      </c>
      <c r="T125" s="58">
        <f t="shared" si="151"/>
        <v>0.18776293596479324</v>
      </c>
      <c r="U125" s="52">
        <v>62636</v>
      </c>
      <c r="V125" s="52">
        <f t="shared" si="160"/>
        <v>1370</v>
      </c>
      <c r="W125" s="58">
        <f t="shared" si="152"/>
        <v>2.2361505565892992E-2</v>
      </c>
      <c r="X125" s="166">
        <v>62770</v>
      </c>
      <c r="Y125" s="52">
        <f t="shared" si="128"/>
        <v>134</v>
      </c>
      <c r="Z125" s="95">
        <f t="shared" si="153"/>
        <v>2.1393447857462164E-3</v>
      </c>
      <c r="AA125" s="202">
        <v>62070</v>
      </c>
      <c r="AB125" s="172">
        <f t="shared" si="129"/>
        <v>-700</v>
      </c>
      <c r="AC125" s="100">
        <f t="shared" si="130"/>
        <v>-1.1151824119802454E-2</v>
      </c>
      <c r="AD125" s="65">
        <v>62070</v>
      </c>
      <c r="AE125" s="65"/>
      <c r="AF125" s="62">
        <v>62070</v>
      </c>
      <c r="AG125" s="52">
        <f t="shared" si="131"/>
        <v>0</v>
      </c>
      <c r="AH125" s="58">
        <f t="shared" si="132"/>
        <v>0</v>
      </c>
      <c r="AI125" s="50">
        <v>62070</v>
      </c>
      <c r="AJ125" s="245">
        <v>62070</v>
      </c>
      <c r="AK125" s="245">
        <v>63436</v>
      </c>
      <c r="AM125" s="256">
        <f t="shared" si="133"/>
        <v>63436</v>
      </c>
      <c r="AN125" s="27">
        <v>62070</v>
      </c>
      <c r="AO125" s="27">
        <v>62070</v>
      </c>
      <c r="AP125" s="65"/>
      <c r="AQ125" s="65"/>
      <c r="AR125" s="78">
        <f t="shared" si="154"/>
        <v>0</v>
      </c>
      <c r="AS125" s="78">
        <f t="shared" si="155"/>
        <v>66420</v>
      </c>
      <c r="AT125" s="78">
        <f t="shared" si="156"/>
        <v>4350</v>
      </c>
      <c r="AU125" s="99">
        <f t="shared" si="157"/>
        <v>7.008216529724505E-2</v>
      </c>
      <c r="AV125" s="78">
        <f t="shared" si="134"/>
        <v>4350</v>
      </c>
      <c r="AW125" s="260">
        <f t="shared" si="135"/>
        <v>7.008216529724505E-2</v>
      </c>
      <c r="AX125" s="256">
        <v>62920</v>
      </c>
      <c r="AY125" s="52">
        <f t="shared" si="88"/>
        <v>850</v>
      </c>
      <c r="AZ125" s="58">
        <f t="shared" si="89"/>
        <v>1.3694216207507652E-2</v>
      </c>
      <c r="BA125" s="616">
        <v>66420</v>
      </c>
      <c r="BB125" s="666">
        <v>66420</v>
      </c>
      <c r="BC125" s="666">
        <f t="shared" si="158"/>
        <v>0</v>
      </c>
      <c r="BD125" s="667">
        <f t="shared" si="159"/>
        <v>0</v>
      </c>
      <c r="BE125" s="672">
        <f>64181</f>
        <v>64181</v>
      </c>
      <c r="BF125" s="668">
        <f t="shared" si="136"/>
        <v>1261</v>
      </c>
      <c r="BG125" s="669">
        <f t="shared" si="137"/>
        <v>2.0041322314049585E-2</v>
      </c>
      <c r="BH125" s="670"/>
      <c r="BI125" s="670"/>
      <c r="BJ125" s="670"/>
      <c r="BK125" s="670"/>
      <c r="BL125" s="671">
        <f t="shared" si="90"/>
        <v>64181</v>
      </c>
      <c r="BM125" s="671">
        <f t="shared" si="138"/>
        <v>-2239</v>
      </c>
      <c r="BN125" s="671">
        <v>64955</v>
      </c>
      <c r="BO125" s="681">
        <v>64955</v>
      </c>
      <c r="BP125" s="39">
        <f t="shared" si="86"/>
        <v>774</v>
      </c>
      <c r="BQ125" s="662">
        <f t="shared" si="139"/>
        <v>-3.3709725986148749E-2</v>
      </c>
      <c r="BR125" s="99">
        <f t="shared" si="87"/>
        <v>1.2059643819822066E-2</v>
      </c>
      <c r="BS125" s="39">
        <v>54</v>
      </c>
      <c r="BV125" s="50">
        <v>0</v>
      </c>
      <c r="BW125" s="280">
        <f t="shared" si="140"/>
        <v>65009</v>
      </c>
      <c r="BX125" s="39">
        <f t="shared" si="141"/>
        <v>828</v>
      </c>
      <c r="BY125" s="51">
        <f t="shared" si="142"/>
        <v>1.290101431887942E-2</v>
      </c>
    </row>
    <row r="126" spans="1:238" s="53" customFormat="1" ht="18" customHeight="1">
      <c r="A126" s="53" t="s">
        <v>21</v>
      </c>
      <c r="B126" s="323">
        <f>23692+388</f>
        <v>24080</v>
      </c>
      <c r="C126" s="323">
        <f>26491+111</f>
        <v>26602</v>
      </c>
      <c r="D126" s="323">
        <f t="shared" si="143"/>
        <v>2522</v>
      </c>
      <c r="E126" s="352">
        <f t="shared" si="144"/>
        <v>0.10473421926910299</v>
      </c>
      <c r="F126" s="582">
        <f>25904+271</f>
        <v>26175</v>
      </c>
      <c r="G126" s="582">
        <f t="shared" si="145"/>
        <v>-427</v>
      </c>
      <c r="H126" s="274">
        <f t="shared" si="146"/>
        <v>-1.6051424704909407E-2</v>
      </c>
      <c r="I126" s="582">
        <f>25699+268</f>
        <v>25967</v>
      </c>
      <c r="J126" s="582">
        <f t="shared" si="147"/>
        <v>-208</v>
      </c>
      <c r="K126" s="274">
        <f t="shared" si="148"/>
        <v>-7.9465138490926457E-3</v>
      </c>
      <c r="L126" s="155">
        <v>27216</v>
      </c>
      <c r="M126" s="24">
        <v>1249</v>
      </c>
      <c r="N126" s="37">
        <v>4.8099510917703238E-2</v>
      </c>
      <c r="O126" s="155">
        <v>30173</v>
      </c>
      <c r="P126" s="155">
        <f t="shared" si="149"/>
        <v>2957</v>
      </c>
      <c r="Q126" s="594">
        <f>P126/L126</f>
        <v>0.10864932392710171</v>
      </c>
      <c r="R126" s="62">
        <v>34838</v>
      </c>
      <c r="S126" s="155">
        <f t="shared" si="150"/>
        <v>4665</v>
      </c>
      <c r="T126" s="594">
        <f t="shared" si="151"/>
        <v>0.15460842475060485</v>
      </c>
      <c r="U126" s="62">
        <v>42677</v>
      </c>
      <c r="V126" s="155">
        <f t="shared" si="160"/>
        <v>7839</v>
      </c>
      <c r="W126" s="594">
        <f t="shared" si="152"/>
        <v>0.22501291692978931</v>
      </c>
      <c r="X126" s="166">
        <v>44983</v>
      </c>
      <c r="Y126" s="62">
        <f t="shared" si="128"/>
        <v>2306</v>
      </c>
      <c r="Z126" s="95">
        <f t="shared" si="153"/>
        <v>5.4033788691801206E-2</v>
      </c>
      <c r="AA126" s="202">
        <v>45168</v>
      </c>
      <c r="AB126" s="583">
        <f t="shared" si="129"/>
        <v>185</v>
      </c>
      <c r="AC126" s="584">
        <f t="shared" si="130"/>
        <v>4.1126647844741343E-3</v>
      </c>
      <c r="AD126" s="520">
        <v>39904</v>
      </c>
      <c r="AE126" s="520">
        <v>840</v>
      </c>
      <c r="AF126" s="62">
        <v>39573</v>
      </c>
      <c r="AG126" s="62">
        <f t="shared" si="131"/>
        <v>-5595</v>
      </c>
      <c r="AH126" s="241">
        <f t="shared" si="132"/>
        <v>-0.12387088204038257</v>
      </c>
      <c r="AI126" s="520">
        <f>AD126-24</f>
        <v>39880</v>
      </c>
      <c r="AJ126" s="246">
        <f>AF126+281</f>
        <v>39854</v>
      </c>
      <c r="AK126" s="245">
        <v>44046</v>
      </c>
      <c r="AL126" s="245"/>
      <c r="AM126" s="202">
        <f t="shared" si="133"/>
        <v>44046</v>
      </c>
      <c r="AN126" s="519">
        <v>35764</v>
      </c>
      <c r="AO126" s="519">
        <v>36757</v>
      </c>
      <c r="AP126" s="246">
        <v>3805</v>
      </c>
      <c r="AQ126" s="519">
        <v>94</v>
      </c>
      <c r="AR126" s="78">
        <f t="shared" si="154"/>
        <v>3899</v>
      </c>
      <c r="AS126" s="78">
        <f t="shared" si="155"/>
        <v>39342.0893</v>
      </c>
      <c r="AT126" s="78">
        <f t="shared" si="156"/>
        <v>-230.91070000000036</v>
      </c>
      <c r="AU126" s="260">
        <f t="shared" si="157"/>
        <v>-5.8350567305991549E-3</v>
      </c>
      <c r="AV126" s="78">
        <f t="shared" si="134"/>
        <v>-230.91070000000036</v>
      </c>
      <c r="AW126" s="260">
        <f t="shared" si="135"/>
        <v>-5.8350567305991549E-3</v>
      </c>
      <c r="AX126" s="205">
        <f>36097</f>
        <v>36097</v>
      </c>
      <c r="AY126" s="62">
        <f t="shared" si="88"/>
        <v>-3476</v>
      </c>
      <c r="AZ126" s="241">
        <f t="shared" si="89"/>
        <v>-8.78376670962525E-2</v>
      </c>
      <c r="BA126" s="617">
        <f>35165.71483+489.4429</f>
        <v>35655.157729999999</v>
      </c>
      <c r="BB126" s="666">
        <f>35088.77918+354.31012</f>
        <v>35443.0893</v>
      </c>
      <c r="BC126" s="666">
        <f t="shared" si="158"/>
        <v>212.06842999999935</v>
      </c>
      <c r="BD126" s="667">
        <f t="shared" si="159"/>
        <v>5.9477630587388055E-3</v>
      </c>
      <c r="BE126" s="673">
        <f>35049</f>
        <v>35049</v>
      </c>
      <c r="BF126" s="668">
        <f t="shared" si="136"/>
        <v>-1048</v>
      </c>
      <c r="BG126" s="669">
        <f t="shared" si="137"/>
        <v>-2.9032883619137324E-2</v>
      </c>
      <c r="BH126" s="670">
        <v>2947</v>
      </c>
      <c r="BI126" s="670"/>
      <c r="BJ126" s="670"/>
      <c r="BK126" s="670"/>
      <c r="BL126" s="671">
        <f t="shared" si="90"/>
        <v>37996</v>
      </c>
      <c r="BM126" s="671">
        <f t="shared" si="138"/>
        <v>-1346.0892999999996</v>
      </c>
      <c r="BN126" s="671">
        <v>40047</v>
      </c>
      <c r="BO126" s="681">
        <v>42547</v>
      </c>
      <c r="BP126" s="39">
        <f t="shared" si="86"/>
        <v>7498</v>
      </c>
      <c r="BQ126" s="662">
        <f t="shared" si="139"/>
        <v>-3.4214992745695373E-2</v>
      </c>
      <c r="BR126" s="99">
        <f t="shared" si="87"/>
        <v>0.21392907072955006</v>
      </c>
      <c r="BS126" s="646">
        <v>2616</v>
      </c>
      <c r="BV126" s="53">
        <v>2.6</v>
      </c>
      <c r="BW126" s="280">
        <f t="shared" si="140"/>
        <v>42665.599999999999</v>
      </c>
      <c r="BX126" s="39">
        <f t="shared" si="141"/>
        <v>4669.5999999999985</v>
      </c>
      <c r="BY126" s="51">
        <f t="shared" si="142"/>
        <v>0.12289714706811239</v>
      </c>
    </row>
    <row r="127" spans="1:238" s="63" customFormat="1" ht="18" customHeight="1">
      <c r="A127" s="63" t="s">
        <v>144</v>
      </c>
      <c r="B127" s="326" t="s">
        <v>78</v>
      </c>
      <c r="C127" s="326" t="s">
        <v>78</v>
      </c>
      <c r="D127" s="326" t="s">
        <v>78</v>
      </c>
      <c r="E127" s="326" t="s">
        <v>78</v>
      </c>
      <c r="F127" s="326" t="s">
        <v>78</v>
      </c>
      <c r="G127" s="326" t="s">
        <v>78</v>
      </c>
      <c r="H127" s="326" t="s">
        <v>78</v>
      </c>
      <c r="I127" s="326" t="s">
        <v>78</v>
      </c>
      <c r="J127" s="326" t="s">
        <v>78</v>
      </c>
      <c r="K127" s="326" t="s">
        <v>78</v>
      </c>
      <c r="L127" s="69">
        <v>0</v>
      </c>
      <c r="M127" s="24">
        <v>0</v>
      </c>
      <c r="N127" s="37" t="s">
        <v>78</v>
      </c>
      <c r="O127" s="69">
        <v>0</v>
      </c>
      <c r="P127" s="69">
        <f t="shared" si="149"/>
        <v>0</v>
      </c>
      <c r="Q127" s="70" t="s">
        <v>78</v>
      </c>
      <c r="R127" s="69">
        <v>0</v>
      </c>
      <c r="S127" s="69">
        <f t="shared" si="150"/>
        <v>0</v>
      </c>
      <c r="T127" s="70" t="s">
        <v>78</v>
      </c>
      <c r="U127" s="71">
        <v>0</v>
      </c>
      <c r="V127" s="69">
        <f t="shared" si="160"/>
        <v>0</v>
      </c>
      <c r="W127" s="70" t="s">
        <v>78</v>
      </c>
      <c r="X127" s="176">
        <v>1719</v>
      </c>
      <c r="Y127" s="52">
        <f t="shared" si="128"/>
        <v>1719</v>
      </c>
      <c r="Z127" s="70" t="s">
        <v>78</v>
      </c>
      <c r="AA127" s="202">
        <v>3460</v>
      </c>
      <c r="AB127" s="172">
        <f t="shared" si="129"/>
        <v>1741</v>
      </c>
      <c r="AC127" s="100">
        <f t="shared" si="130"/>
        <v>1.0127981384525888</v>
      </c>
      <c r="AD127" s="80">
        <v>1660</v>
      </c>
      <c r="AE127" s="80">
        <v>1976</v>
      </c>
      <c r="AF127" s="62">
        <v>1605</v>
      </c>
      <c r="AG127" s="52">
        <f t="shared" si="131"/>
        <v>-1855</v>
      </c>
      <c r="AH127" s="58">
        <f t="shared" si="132"/>
        <v>-0.53612716763005785</v>
      </c>
      <c r="AI127" s="63">
        <v>1660</v>
      </c>
      <c r="AJ127" s="245">
        <v>3636</v>
      </c>
      <c r="AK127" s="245">
        <v>1662</v>
      </c>
      <c r="AM127" s="256">
        <f t="shared" si="133"/>
        <v>1662</v>
      </c>
      <c r="AN127" s="27">
        <v>1468</v>
      </c>
      <c r="AO127" s="27">
        <v>3637</v>
      </c>
      <c r="AP127" s="80"/>
      <c r="AQ127" s="80"/>
      <c r="AR127" s="78">
        <f t="shared" si="154"/>
        <v>0</v>
      </c>
      <c r="AS127" s="78">
        <f t="shared" si="155"/>
        <v>1303.9581000000001</v>
      </c>
      <c r="AT127" s="78">
        <f t="shared" si="156"/>
        <v>-301.04189999999994</v>
      </c>
      <c r="AU127" s="99">
        <f t="shared" si="157"/>
        <v>-0.18756504672897192</v>
      </c>
      <c r="AV127" s="78">
        <f t="shared" si="134"/>
        <v>-301.04189999999994</v>
      </c>
      <c r="AW127" s="260">
        <f t="shared" si="135"/>
        <v>-0.18756504672897192</v>
      </c>
      <c r="AX127" s="361">
        <v>3490</v>
      </c>
      <c r="AY127" s="52">
        <f t="shared" si="88"/>
        <v>1885</v>
      </c>
      <c r="AZ127" s="58">
        <f t="shared" si="89"/>
        <v>1.1744548286604362</v>
      </c>
      <c r="BA127" s="616">
        <v>1321</v>
      </c>
      <c r="BB127" s="666">
        <v>1303.9581000000001</v>
      </c>
      <c r="BC127" s="666">
        <f t="shared" si="158"/>
        <v>17.041899999999941</v>
      </c>
      <c r="BD127" s="667">
        <f t="shared" si="159"/>
        <v>1.2900757002270962E-2</v>
      </c>
      <c r="BE127" s="673">
        <f>1076+2414</f>
        <v>3490</v>
      </c>
      <c r="BF127" s="668">
        <f t="shared" si="136"/>
        <v>0</v>
      </c>
      <c r="BG127" s="669">
        <f t="shared" si="137"/>
        <v>0</v>
      </c>
      <c r="BH127" s="670"/>
      <c r="BI127" s="670"/>
      <c r="BJ127" s="670"/>
      <c r="BK127" s="670"/>
      <c r="BL127" s="671">
        <f t="shared" si="90"/>
        <v>3490</v>
      </c>
      <c r="BM127" s="671">
        <f t="shared" si="138"/>
        <v>2186.0419000000002</v>
      </c>
      <c r="BN127" s="671">
        <v>3495</v>
      </c>
      <c r="BO127" s="681">
        <v>3495</v>
      </c>
      <c r="BP127" s="39">
        <f t="shared" si="86"/>
        <v>5</v>
      </c>
      <c r="BQ127" s="662">
        <f t="shared" si="139"/>
        <v>1.6764663680527772</v>
      </c>
      <c r="BR127" s="99">
        <f t="shared" si="87"/>
        <v>1.4326647564469914E-3</v>
      </c>
      <c r="BS127" s="40"/>
      <c r="BW127" s="280">
        <f t="shared" si="140"/>
        <v>3495</v>
      </c>
      <c r="BX127" s="39">
        <f t="shared" si="141"/>
        <v>5</v>
      </c>
      <c r="BY127" s="51">
        <f t="shared" si="142"/>
        <v>1.4326647564469914E-3</v>
      </c>
    </row>
    <row r="128" spans="1:238" s="63" customFormat="1" ht="18" customHeight="1">
      <c r="A128" s="251" t="s">
        <v>371</v>
      </c>
      <c r="B128" s="322">
        <v>2023</v>
      </c>
      <c r="C128" s="322">
        <f>1854+42</f>
        <v>1896</v>
      </c>
      <c r="D128" s="323">
        <f t="shared" si="143"/>
        <v>-127</v>
      </c>
      <c r="E128" s="352">
        <f t="shared" si="144"/>
        <v>-6.2778052397429562E-2</v>
      </c>
      <c r="F128" s="6">
        <f>1736+431</f>
        <v>2167</v>
      </c>
      <c r="G128" s="10">
        <f t="shared" si="145"/>
        <v>271</v>
      </c>
      <c r="H128" s="14">
        <f t="shared" si="146"/>
        <v>0.1429324894514768</v>
      </c>
      <c r="I128" s="6">
        <f>1691+327</f>
        <v>2018</v>
      </c>
      <c r="J128" s="10">
        <f t="shared" si="147"/>
        <v>-149</v>
      </c>
      <c r="K128" s="14">
        <f t="shared" si="148"/>
        <v>-6.8758652514997687E-2</v>
      </c>
      <c r="L128" s="69"/>
      <c r="M128" s="24"/>
      <c r="N128" s="37"/>
      <c r="O128" s="69"/>
      <c r="P128" s="69"/>
      <c r="Q128" s="70"/>
      <c r="R128" s="69"/>
      <c r="S128" s="69"/>
      <c r="T128" s="70"/>
      <c r="U128" s="71"/>
      <c r="V128" s="69"/>
      <c r="W128" s="70"/>
      <c r="X128" s="176"/>
      <c r="Y128" s="52"/>
      <c r="Z128" s="70"/>
      <c r="AA128" s="202"/>
      <c r="AB128" s="172"/>
      <c r="AC128" s="100"/>
      <c r="AD128" s="80"/>
      <c r="AE128" s="80"/>
      <c r="AF128" s="62"/>
      <c r="AG128" s="62"/>
      <c r="AH128" s="241"/>
      <c r="AI128" s="53"/>
      <c r="AJ128" s="245"/>
      <c r="AK128" s="245"/>
      <c r="AL128" s="53"/>
      <c r="AM128" s="202"/>
      <c r="AN128" s="519"/>
      <c r="AO128" s="519"/>
      <c r="AP128" s="520"/>
      <c r="AQ128" s="520"/>
      <c r="AR128" s="78">
        <f t="shared" si="154"/>
        <v>0</v>
      </c>
      <c r="AS128" s="78">
        <f t="shared" si="155"/>
        <v>0</v>
      </c>
      <c r="AT128" s="78">
        <f t="shared" si="156"/>
        <v>0</v>
      </c>
      <c r="AU128" s="99" t="e">
        <f t="shared" si="157"/>
        <v>#DIV/0!</v>
      </c>
      <c r="AV128" s="78"/>
      <c r="AW128" s="260"/>
      <c r="AX128" s="155"/>
      <c r="AY128" s="62">
        <f t="shared" si="88"/>
        <v>0</v>
      </c>
      <c r="AZ128" s="241" t="e">
        <f t="shared" si="89"/>
        <v>#DIV/0!</v>
      </c>
      <c r="BA128" s="241"/>
      <c r="BB128" s="669"/>
      <c r="BC128" s="666">
        <f t="shared" si="158"/>
        <v>0</v>
      </c>
      <c r="BD128" s="667"/>
      <c r="BE128" s="674"/>
      <c r="BF128" s="668">
        <f t="shared" si="136"/>
        <v>0</v>
      </c>
      <c r="BG128" s="669" t="e">
        <f t="shared" si="137"/>
        <v>#DIV/0!</v>
      </c>
      <c r="BH128" s="670"/>
      <c r="BI128" s="670"/>
      <c r="BJ128" s="670"/>
      <c r="BK128" s="670"/>
      <c r="BL128" s="671">
        <f t="shared" si="90"/>
        <v>0</v>
      </c>
      <c r="BM128" s="671">
        <f t="shared" si="138"/>
        <v>0</v>
      </c>
      <c r="BN128" s="671"/>
      <c r="BO128" s="681"/>
      <c r="BP128" s="39">
        <f t="shared" si="86"/>
        <v>0</v>
      </c>
      <c r="BQ128" s="51" t="e">
        <f t="shared" si="139"/>
        <v>#DIV/0!</v>
      </c>
      <c r="BR128" s="99" t="e">
        <f t="shared" si="87"/>
        <v>#DIV/0!</v>
      </c>
      <c r="BS128" s="40">
        <v>833</v>
      </c>
      <c r="BV128" s="63">
        <v>0.25</v>
      </c>
      <c r="BW128" s="280">
        <f t="shared" si="140"/>
        <v>833.25</v>
      </c>
      <c r="BX128" s="39">
        <f t="shared" si="141"/>
        <v>833.25</v>
      </c>
      <c r="BY128" s="51" t="e">
        <f t="shared" si="142"/>
        <v>#DIV/0!</v>
      </c>
    </row>
    <row r="129" spans="1:77" s="79" customFormat="1" ht="18" customHeight="1">
      <c r="A129" s="53" t="s">
        <v>180</v>
      </c>
      <c r="B129" s="601" t="s">
        <v>78</v>
      </c>
      <c r="C129" s="601" t="s">
        <v>78</v>
      </c>
      <c r="D129" s="601" t="s">
        <v>78</v>
      </c>
      <c r="E129" s="601" t="s">
        <v>78</v>
      </c>
      <c r="F129" s="601" t="s">
        <v>78</v>
      </c>
      <c r="G129" s="601" t="s">
        <v>78</v>
      </c>
      <c r="H129" s="601" t="s">
        <v>78</v>
      </c>
      <c r="I129" s="601" t="s">
        <v>78</v>
      </c>
      <c r="J129" s="601" t="s">
        <v>78</v>
      </c>
      <c r="K129" s="601" t="s">
        <v>78</v>
      </c>
      <c r="L129" s="155"/>
      <c r="M129" s="24"/>
      <c r="N129" s="37"/>
      <c r="O129" s="155"/>
      <c r="P129" s="155"/>
      <c r="Q129" s="37"/>
      <c r="R129" s="155"/>
      <c r="S129" s="155"/>
      <c r="T129" s="37"/>
      <c r="U129" s="602">
        <v>1281</v>
      </c>
      <c r="V129" s="155"/>
      <c r="W129" s="37"/>
      <c r="X129" s="166">
        <v>34981</v>
      </c>
      <c r="Y129" s="62">
        <f t="shared" si="128"/>
        <v>33700</v>
      </c>
      <c r="Z129" s="95">
        <f>Y129/U129</f>
        <v>26.307572209211553</v>
      </c>
      <c r="AA129" s="202">
        <v>38306</v>
      </c>
      <c r="AB129" s="583">
        <f t="shared" si="129"/>
        <v>3325</v>
      </c>
      <c r="AC129" s="584">
        <f t="shared" si="130"/>
        <v>9.5051599439695836E-2</v>
      </c>
      <c r="AD129" s="78">
        <v>28914</v>
      </c>
      <c r="AE129" s="78">
        <v>3286</v>
      </c>
      <c r="AF129" s="62">
        <v>31437</v>
      </c>
      <c r="AG129" s="62">
        <f t="shared" si="131"/>
        <v>-6869</v>
      </c>
      <c r="AH129" s="241">
        <f t="shared" si="132"/>
        <v>-0.17931916671017595</v>
      </c>
      <c r="AI129" s="78">
        <f>AD129-146</f>
        <v>28768</v>
      </c>
      <c r="AJ129" s="246">
        <f>AF129+276</f>
        <v>31713</v>
      </c>
      <c r="AK129" s="245">
        <v>29316</v>
      </c>
      <c r="AL129" s="258"/>
      <c r="AM129" s="202">
        <f t="shared" si="133"/>
        <v>29316</v>
      </c>
      <c r="AN129" s="519">
        <v>26203</v>
      </c>
      <c r="AO129" s="519">
        <v>27653</v>
      </c>
      <c r="AP129" s="246">
        <v>535</v>
      </c>
      <c r="AQ129" s="519"/>
      <c r="AR129" s="78">
        <f t="shared" si="154"/>
        <v>535</v>
      </c>
      <c r="AS129" s="78">
        <f t="shared" si="155"/>
        <v>27469.85614</v>
      </c>
      <c r="AT129" s="78">
        <f t="shared" si="156"/>
        <v>-3967.1438600000001</v>
      </c>
      <c r="AU129" s="260">
        <f t="shared" si="157"/>
        <v>-0.12619346184432356</v>
      </c>
      <c r="AV129" s="78">
        <f t="shared" si="134"/>
        <v>-3967.1438600000001</v>
      </c>
      <c r="AW129" s="260">
        <f t="shared" si="135"/>
        <v>-0.12619346184432356</v>
      </c>
      <c r="AX129" s="205">
        <f>27641+19850</f>
        <v>47491</v>
      </c>
      <c r="AY129" s="62">
        <f t="shared" si="88"/>
        <v>16054</v>
      </c>
      <c r="AZ129" s="241">
        <f t="shared" si="89"/>
        <v>0.5106721379266469</v>
      </c>
      <c r="BA129" s="616">
        <f>26454.38259+1438.07732</f>
        <v>27892.459910000001</v>
      </c>
      <c r="BB129" s="666">
        <f>25543.11958+1391.73656</f>
        <v>26934.85614</v>
      </c>
      <c r="BC129" s="666">
        <f t="shared" si="158"/>
        <v>957.60377000000153</v>
      </c>
      <c r="BD129" s="667">
        <f t="shared" si="159"/>
        <v>3.4331994133535763E-2</v>
      </c>
      <c r="BE129" s="675">
        <v>45839</v>
      </c>
      <c r="BF129" s="668">
        <f t="shared" si="136"/>
        <v>-1652</v>
      </c>
      <c r="BG129" s="669">
        <f t="shared" si="137"/>
        <v>-3.4785538312522374E-2</v>
      </c>
      <c r="BH129" s="670">
        <v>427</v>
      </c>
      <c r="BI129" s="670"/>
      <c r="BJ129" s="670"/>
      <c r="BK129" s="670"/>
      <c r="BL129" s="671">
        <f t="shared" si="90"/>
        <v>46266</v>
      </c>
      <c r="BM129" s="671">
        <f t="shared" si="138"/>
        <v>18796.14386</v>
      </c>
      <c r="BN129" s="671">
        <v>47782</v>
      </c>
      <c r="BO129" s="681">
        <v>47782</v>
      </c>
      <c r="BP129" s="39">
        <f t="shared" si="86"/>
        <v>1943</v>
      </c>
      <c r="BQ129" s="662">
        <f t="shared" si="139"/>
        <v>0.68424617020946654</v>
      </c>
      <c r="BR129" s="99">
        <f t="shared" si="87"/>
        <v>4.2387486638015663E-2</v>
      </c>
      <c r="BS129" s="487">
        <v>392</v>
      </c>
      <c r="BV129" s="79">
        <v>2.1</v>
      </c>
      <c r="BW129" s="280">
        <f t="shared" si="140"/>
        <v>48176.1</v>
      </c>
      <c r="BX129" s="39">
        <f t="shared" si="141"/>
        <v>1910.0999999999985</v>
      </c>
      <c r="BY129" s="51">
        <f t="shared" si="142"/>
        <v>4.1285177019841753E-2</v>
      </c>
    </row>
    <row r="130" spans="1:77" ht="18" customHeight="1">
      <c r="A130" s="63" t="s">
        <v>133</v>
      </c>
      <c r="B130" s="326" t="s">
        <v>78</v>
      </c>
      <c r="C130" s="326" t="s">
        <v>78</v>
      </c>
      <c r="D130" s="326" t="s">
        <v>78</v>
      </c>
      <c r="E130" s="326" t="s">
        <v>78</v>
      </c>
      <c r="F130" s="326" t="s">
        <v>78</v>
      </c>
      <c r="G130" s="326" t="s">
        <v>78</v>
      </c>
      <c r="H130" s="326" t="s">
        <v>78</v>
      </c>
      <c r="I130" s="326" t="s">
        <v>78</v>
      </c>
      <c r="J130" s="326" t="s">
        <v>78</v>
      </c>
      <c r="K130" s="326" t="s">
        <v>78</v>
      </c>
      <c r="L130" s="69"/>
      <c r="M130" s="24"/>
      <c r="N130" s="37"/>
      <c r="O130" s="69"/>
      <c r="P130" s="69"/>
      <c r="Q130" s="70"/>
      <c r="R130" s="69"/>
      <c r="S130" s="69"/>
      <c r="T130" s="70"/>
      <c r="U130" s="71">
        <v>0</v>
      </c>
      <c r="V130" s="69"/>
      <c r="W130" s="70"/>
      <c r="X130" s="166">
        <v>0</v>
      </c>
      <c r="Y130" s="52">
        <f t="shared" si="128"/>
        <v>0</v>
      </c>
      <c r="Z130" s="70" t="s">
        <v>78</v>
      </c>
      <c r="AA130" s="202">
        <v>141700</v>
      </c>
      <c r="AB130" s="172">
        <f t="shared" si="129"/>
        <v>141700</v>
      </c>
      <c r="AC130" s="70" t="s">
        <v>78</v>
      </c>
      <c r="AD130" s="65">
        <v>149100</v>
      </c>
      <c r="AE130" s="65"/>
      <c r="AF130" s="62">
        <v>166568</v>
      </c>
      <c r="AG130" s="52">
        <f t="shared" si="131"/>
        <v>24868</v>
      </c>
      <c r="AH130" s="58">
        <f t="shared" si="132"/>
        <v>0.17549752999294282</v>
      </c>
      <c r="AI130" s="65">
        <f>AD130+23515</f>
        <v>172615</v>
      </c>
      <c r="AJ130" s="246">
        <f>AF130+23515</f>
        <v>190083</v>
      </c>
      <c r="AK130" s="245">
        <v>200600</v>
      </c>
      <c r="AM130" s="256">
        <f t="shared" si="133"/>
        <v>200600</v>
      </c>
      <c r="AN130" s="27">
        <v>179891</v>
      </c>
      <c r="AO130" s="27">
        <v>179891</v>
      </c>
      <c r="AP130" s="65"/>
      <c r="AQ130" s="65"/>
      <c r="AR130" s="78">
        <f t="shared" si="154"/>
        <v>0</v>
      </c>
      <c r="AS130" s="78">
        <f t="shared" si="155"/>
        <v>135239.86283999999</v>
      </c>
      <c r="AT130" s="78">
        <f t="shared" si="156"/>
        <v>-31328.137160000013</v>
      </c>
      <c r="AU130" s="99">
        <f t="shared" si="157"/>
        <v>-0.18808016641851985</v>
      </c>
      <c r="AV130" s="78">
        <f t="shared" si="134"/>
        <v>-31328.137160000013</v>
      </c>
      <c r="AW130" s="260">
        <f t="shared" si="135"/>
        <v>-0.18808016641851985</v>
      </c>
      <c r="AX130" s="205">
        <v>158017</v>
      </c>
      <c r="AY130" s="52">
        <f t="shared" si="88"/>
        <v>-8551</v>
      </c>
      <c r="AZ130" s="58">
        <f t="shared" si="89"/>
        <v>-5.1336391143556988E-2</v>
      </c>
      <c r="BA130" s="616">
        <v>145819.20480000001</v>
      </c>
      <c r="BB130" s="666">
        <v>135239.86283999999</v>
      </c>
      <c r="BC130" s="666">
        <f t="shared" si="158"/>
        <v>10579.34196000002</v>
      </c>
      <c r="BD130" s="667">
        <f t="shared" si="159"/>
        <v>7.2551088003190226E-2</v>
      </c>
      <c r="BE130" s="673">
        <v>150237</v>
      </c>
      <c r="BF130" s="668">
        <f t="shared" si="136"/>
        <v>-7780</v>
      </c>
      <c r="BG130" s="669">
        <f t="shared" si="137"/>
        <v>-4.9235208869931719E-2</v>
      </c>
      <c r="BH130" s="670"/>
      <c r="BI130" s="670"/>
      <c r="BJ130" s="670"/>
      <c r="BK130" s="670"/>
      <c r="BL130" s="671">
        <f t="shared" si="90"/>
        <v>150237</v>
      </c>
      <c r="BM130" s="671">
        <f t="shared" si="138"/>
        <v>14997.137160000013</v>
      </c>
      <c r="BN130" s="671">
        <v>109941</v>
      </c>
      <c r="BO130" s="681">
        <v>109941</v>
      </c>
      <c r="BP130" s="39">
        <f t="shared" si="86"/>
        <v>-40296</v>
      </c>
      <c r="BQ130" s="662">
        <f t="shared" si="139"/>
        <v>0.11089287466775144</v>
      </c>
      <c r="BR130" s="99">
        <f t="shared" si="87"/>
        <v>-0.26821621837496756</v>
      </c>
      <c r="BW130" s="280">
        <f t="shared" si="140"/>
        <v>109941</v>
      </c>
      <c r="BX130" s="39">
        <f t="shared" si="141"/>
        <v>-40296</v>
      </c>
      <c r="BY130" s="51">
        <f t="shared" si="142"/>
        <v>-0.26821621837496756</v>
      </c>
    </row>
    <row r="131" spans="1:77" ht="18" customHeight="1">
      <c r="A131" s="63" t="s">
        <v>134</v>
      </c>
      <c r="B131" s="326" t="s">
        <v>78</v>
      </c>
      <c r="C131" s="326" t="s">
        <v>78</v>
      </c>
      <c r="D131" s="326" t="s">
        <v>78</v>
      </c>
      <c r="E131" s="326" t="s">
        <v>78</v>
      </c>
      <c r="F131" s="326" t="s">
        <v>78</v>
      </c>
      <c r="G131" s="326" t="s">
        <v>78</v>
      </c>
      <c r="H131" s="326" t="s">
        <v>78</v>
      </c>
      <c r="I131" s="326" t="s">
        <v>78</v>
      </c>
      <c r="J131" s="326" t="s">
        <v>78</v>
      </c>
      <c r="K131" s="326" t="s">
        <v>78</v>
      </c>
      <c r="L131" s="63"/>
      <c r="M131" s="63"/>
      <c r="N131" s="63"/>
      <c r="O131" s="63"/>
      <c r="P131" s="63"/>
      <c r="Q131" s="63"/>
      <c r="R131" s="63"/>
      <c r="S131" s="63"/>
      <c r="T131" s="63"/>
      <c r="U131" s="63">
        <v>0</v>
      </c>
      <c r="V131" s="63"/>
      <c r="W131" s="63"/>
      <c r="X131" s="176">
        <v>171</v>
      </c>
      <c r="Y131" s="52">
        <f t="shared" si="128"/>
        <v>171</v>
      </c>
      <c r="Z131" s="70" t="s">
        <v>78</v>
      </c>
      <c r="AA131" s="202">
        <v>75558</v>
      </c>
      <c r="AB131" s="172">
        <f t="shared" si="129"/>
        <v>75387</v>
      </c>
      <c r="AC131" s="100">
        <f>AB131/X131</f>
        <v>440.85964912280701</v>
      </c>
      <c r="AD131" s="65">
        <v>77431</v>
      </c>
      <c r="AE131" s="65"/>
      <c r="AF131" s="62">
        <v>93373</v>
      </c>
      <c r="AG131" s="52">
        <f t="shared" si="131"/>
        <v>17815</v>
      </c>
      <c r="AH131" s="58">
        <f t="shared" si="132"/>
        <v>0.23577913655734667</v>
      </c>
      <c r="AI131" s="65">
        <f>AD131+15851</f>
        <v>93282</v>
      </c>
      <c r="AJ131" s="246">
        <f>AF131+15851</f>
        <v>109224</v>
      </c>
      <c r="AK131" s="245">
        <v>87135</v>
      </c>
      <c r="AM131" s="256">
        <f t="shared" si="133"/>
        <v>87135</v>
      </c>
      <c r="AN131" s="27">
        <v>89171</v>
      </c>
      <c r="AO131" s="27">
        <v>89171</v>
      </c>
      <c r="AP131" s="65"/>
      <c r="AQ131" s="65"/>
      <c r="AR131" s="78">
        <f t="shared" si="154"/>
        <v>0</v>
      </c>
      <c r="AS131" s="78">
        <f t="shared" si="155"/>
        <v>95972.694640000002</v>
      </c>
      <c r="AT131" s="78">
        <f t="shared" si="156"/>
        <v>2599.6946400000015</v>
      </c>
      <c r="AU131" s="99">
        <f t="shared" si="157"/>
        <v>2.7842038276589608E-2</v>
      </c>
      <c r="AV131" s="78">
        <f t="shared" si="134"/>
        <v>2599.6946400000015</v>
      </c>
      <c r="AW131" s="260">
        <f t="shared" si="135"/>
        <v>2.7842038276589608E-2</v>
      </c>
      <c r="AX131" s="205">
        <v>93604</v>
      </c>
      <c r="AY131" s="52">
        <f t="shared" si="88"/>
        <v>231</v>
      </c>
      <c r="AZ131" s="58">
        <f t="shared" si="89"/>
        <v>2.4739485718569608E-3</v>
      </c>
      <c r="BA131" s="616">
        <v>96778.843150000001</v>
      </c>
      <c r="BB131" s="666">
        <v>95972.694640000002</v>
      </c>
      <c r="BC131" s="666">
        <f t="shared" si="158"/>
        <v>806.14850999999908</v>
      </c>
      <c r="BD131" s="667">
        <f t="shared" si="159"/>
        <v>8.3298010573501988E-3</v>
      </c>
      <c r="BE131" s="673">
        <v>88760</v>
      </c>
      <c r="BF131" s="668">
        <f t="shared" si="136"/>
        <v>-4844</v>
      </c>
      <c r="BG131" s="669">
        <f t="shared" si="137"/>
        <v>-5.1749925216871072E-2</v>
      </c>
      <c r="BH131" s="670"/>
      <c r="BI131" s="670"/>
      <c r="BJ131" s="670"/>
      <c r="BK131" s="670">
        <v>55</v>
      </c>
      <c r="BL131" s="671">
        <f t="shared" si="90"/>
        <v>88815</v>
      </c>
      <c r="BM131" s="671">
        <f t="shared" si="138"/>
        <v>-7157.6946400000015</v>
      </c>
      <c r="BN131" s="671">
        <v>91190</v>
      </c>
      <c r="BO131" s="681">
        <v>91190</v>
      </c>
      <c r="BP131" s="39">
        <f t="shared" si="86"/>
        <v>2430</v>
      </c>
      <c r="BQ131" s="662">
        <f t="shared" si="139"/>
        <v>-7.4580532169582117E-2</v>
      </c>
      <c r="BR131" s="99">
        <f t="shared" si="87"/>
        <v>2.7377196935556555E-2</v>
      </c>
      <c r="BW131" s="280">
        <f t="shared" si="140"/>
        <v>91190</v>
      </c>
      <c r="BX131" s="39">
        <f t="shared" si="141"/>
        <v>2375</v>
      </c>
      <c r="BY131" s="51">
        <f t="shared" si="142"/>
        <v>2.674097843832686E-2</v>
      </c>
    </row>
    <row r="132" spans="1:77" s="130" customFormat="1" ht="18" customHeight="1" thickBot="1">
      <c r="A132" s="130" t="s">
        <v>184</v>
      </c>
      <c r="B132" s="331" t="s">
        <v>78</v>
      </c>
      <c r="C132" s="331" t="s">
        <v>78</v>
      </c>
      <c r="D132" s="331" t="s">
        <v>78</v>
      </c>
      <c r="E132" s="331" t="s">
        <v>78</v>
      </c>
      <c r="F132" s="331" t="s">
        <v>78</v>
      </c>
      <c r="G132" s="331" t="s">
        <v>78</v>
      </c>
      <c r="H132" s="331" t="s">
        <v>78</v>
      </c>
      <c r="I132" s="331" t="s">
        <v>78</v>
      </c>
      <c r="J132" s="331" t="s">
        <v>78</v>
      </c>
      <c r="K132" s="331" t="s">
        <v>78</v>
      </c>
      <c r="X132" s="177">
        <v>384</v>
      </c>
      <c r="Y132" s="75">
        <f t="shared" si="128"/>
        <v>384</v>
      </c>
      <c r="Z132" s="126"/>
      <c r="AA132" s="206"/>
      <c r="AB132" s="174">
        <f t="shared" si="129"/>
        <v>-384</v>
      </c>
      <c r="AC132" s="128">
        <f>AB132/X132</f>
        <v>-1</v>
      </c>
      <c r="AF132" s="156"/>
      <c r="AG132" s="156">
        <f>AF132-AA132</f>
        <v>0</v>
      </c>
      <c r="AH132" s="249" t="e">
        <f>AG132/AA132</f>
        <v>#DIV/0!</v>
      </c>
      <c r="AJ132" s="130">
        <v>0</v>
      </c>
      <c r="AM132" s="202">
        <f t="shared" si="133"/>
        <v>0</v>
      </c>
      <c r="AO132" s="79"/>
      <c r="AP132" s="538"/>
      <c r="AQ132" s="538"/>
      <c r="AR132" s="78">
        <f t="shared" si="154"/>
        <v>0</v>
      </c>
      <c r="AS132" s="78">
        <f t="shared" si="155"/>
        <v>1380</v>
      </c>
      <c r="AT132" s="313">
        <f t="shared" si="156"/>
        <v>1380</v>
      </c>
      <c r="AU132" s="129" t="e">
        <f t="shared" si="157"/>
        <v>#DIV/0!</v>
      </c>
      <c r="AV132" s="78"/>
      <c r="AW132" s="260"/>
      <c r="AX132" s="156"/>
      <c r="AY132" s="156">
        <f t="shared" si="88"/>
        <v>0</v>
      </c>
      <c r="AZ132" s="249" t="e">
        <f t="shared" si="89"/>
        <v>#DIV/0!</v>
      </c>
      <c r="BA132" s="616">
        <v>1380</v>
      </c>
      <c r="BB132" s="666">
        <v>1380</v>
      </c>
      <c r="BC132" s="666">
        <f t="shared" si="158"/>
        <v>0</v>
      </c>
      <c r="BD132" s="667">
        <f t="shared" si="159"/>
        <v>0</v>
      </c>
      <c r="BE132" s="676"/>
      <c r="BF132" s="676">
        <f t="shared" si="136"/>
        <v>0</v>
      </c>
      <c r="BG132" s="677" t="e">
        <f t="shared" si="137"/>
        <v>#DIV/0!</v>
      </c>
      <c r="BH132" s="678"/>
      <c r="BI132" s="678"/>
      <c r="BJ132" s="678"/>
      <c r="BK132" s="678"/>
      <c r="BL132" s="679">
        <f t="shared" si="90"/>
        <v>0</v>
      </c>
      <c r="BM132" s="679">
        <f t="shared" si="138"/>
        <v>-1380</v>
      </c>
      <c r="BN132" s="679">
        <v>0</v>
      </c>
      <c r="BO132" s="254"/>
      <c r="BP132" s="39">
        <f t="shared" si="86"/>
        <v>0</v>
      </c>
      <c r="BQ132" s="663">
        <f t="shared" si="139"/>
        <v>-1</v>
      </c>
      <c r="BR132" s="99" t="e">
        <f t="shared" si="87"/>
        <v>#DIV/0!</v>
      </c>
      <c r="BS132" s="488"/>
      <c r="BW132" s="280">
        <f t="shared" si="140"/>
        <v>0</v>
      </c>
      <c r="BX132" s="39">
        <f t="shared" si="141"/>
        <v>0</v>
      </c>
      <c r="BY132" s="51" t="e">
        <f t="shared" si="142"/>
        <v>#DIV/0!</v>
      </c>
    </row>
    <row r="133" spans="1:77" s="13" customFormat="1" ht="18" customHeight="1">
      <c r="A133" s="64" t="s">
        <v>59</v>
      </c>
      <c r="B133" s="12">
        <f t="shared" ref="B133:I133" si="161">SUM(B120:B132)</f>
        <v>759641</v>
      </c>
      <c r="C133" s="12">
        <f t="shared" si="161"/>
        <v>980005</v>
      </c>
      <c r="D133" s="25">
        <f t="shared" si="143"/>
        <v>220364</v>
      </c>
      <c r="E133" s="359">
        <f t="shared" si="144"/>
        <v>0.29008966077397086</v>
      </c>
      <c r="F133" s="12">
        <f t="shared" si="161"/>
        <v>955185</v>
      </c>
      <c r="G133" s="12">
        <f t="shared" si="145"/>
        <v>-24820</v>
      </c>
      <c r="H133" s="15">
        <f t="shared" si="146"/>
        <v>-2.5326401395911247E-2</v>
      </c>
      <c r="I133" s="12">
        <f t="shared" si="161"/>
        <v>938612</v>
      </c>
      <c r="J133" s="12">
        <f t="shared" si="147"/>
        <v>-16573</v>
      </c>
      <c r="K133" s="15">
        <f t="shared" si="148"/>
        <v>-1.7350565597240325E-2</v>
      </c>
      <c r="L133" s="12">
        <f>SUM(L120:L132)</f>
        <v>1050028</v>
      </c>
      <c r="M133" s="25">
        <v>126895</v>
      </c>
      <c r="N133" s="38">
        <v>0.13872733156373401</v>
      </c>
      <c r="O133" s="12">
        <f>SUM(O120:O132)+34000</f>
        <v>1145955</v>
      </c>
      <c r="P133" s="12">
        <f>O133-L133</f>
        <v>95927</v>
      </c>
      <c r="Q133" s="36">
        <f>P133/L133</f>
        <v>9.1356611442742486E-2</v>
      </c>
      <c r="R133" s="12">
        <f>SUM(R120:R132)</f>
        <v>1225569</v>
      </c>
      <c r="S133" s="12">
        <f t="shared" si="150"/>
        <v>79614</v>
      </c>
      <c r="T133" s="36">
        <f>S133/O133</f>
        <v>6.9473932222469476E-2</v>
      </c>
      <c r="U133" s="12">
        <f>SUM(U120:U132)</f>
        <v>1285587</v>
      </c>
      <c r="V133" s="12">
        <f t="shared" ref="V133" si="162">SUM(V121:V126)</f>
        <v>58737</v>
      </c>
      <c r="W133" s="36">
        <f>V133/R133</f>
        <v>4.7926310146552339E-2</v>
      </c>
      <c r="X133" s="181">
        <f>SUM(X120:X132)</f>
        <v>1447463</v>
      </c>
      <c r="Y133" s="12">
        <f t="shared" si="128"/>
        <v>161876</v>
      </c>
      <c r="Z133" s="98">
        <f>Y133/U133</f>
        <v>0.12591602124165849</v>
      </c>
      <c r="AA133" s="12">
        <f>SUM(AA120:AA132)</f>
        <v>1431098</v>
      </c>
      <c r="AB133" s="165">
        <f t="shared" si="129"/>
        <v>-16365</v>
      </c>
      <c r="AC133" s="97">
        <f>AB133/X133</f>
        <v>-1.1305988477771107E-2</v>
      </c>
      <c r="AD133" s="12">
        <f>SUM(AD120:AD132)</f>
        <v>1359697</v>
      </c>
      <c r="AE133" s="12">
        <f>SUM(AE120:AE132)</f>
        <v>20835</v>
      </c>
      <c r="AF133" s="12">
        <f>SUM(AF120:AF132)</f>
        <v>1406984</v>
      </c>
      <c r="AG133" s="12">
        <f>AF133-AA133</f>
        <v>-24114</v>
      </c>
      <c r="AH133" s="36">
        <f>AG133/AA133</f>
        <v>-1.6849999091606584E-2</v>
      </c>
      <c r="AJ133" s="12">
        <f>SUM(AJ120:AJ132)</f>
        <v>1419588</v>
      </c>
      <c r="AK133" s="12">
        <f>SUM(AK120:AK132)</f>
        <v>1520467</v>
      </c>
      <c r="AM133" s="12">
        <f t="shared" ref="AM133:AR133" si="163">SUM(AM120:AM132)</f>
        <v>1520467</v>
      </c>
      <c r="AN133" s="12">
        <f t="shared" si="163"/>
        <v>1503960</v>
      </c>
      <c r="AO133" s="12">
        <f t="shared" si="163"/>
        <v>1523404</v>
      </c>
      <c r="AP133" s="28">
        <f t="shared" si="163"/>
        <v>4371</v>
      </c>
      <c r="AQ133" s="28">
        <f t="shared" si="163"/>
        <v>111</v>
      </c>
      <c r="AR133" s="338">
        <f t="shared" si="163"/>
        <v>4482</v>
      </c>
      <c r="AS133" s="540">
        <f>BB133+AR133</f>
        <v>1502121.8110200004</v>
      </c>
      <c r="AT133" s="78">
        <f t="shared" si="156"/>
        <v>95137.811020000372</v>
      </c>
      <c r="AU133" s="99">
        <f t="shared" si="157"/>
        <v>6.7618260776242209E-2</v>
      </c>
      <c r="AV133" s="12">
        <f>SUM(AV120:AV132)</f>
        <v>93757.811020000023</v>
      </c>
      <c r="AW133" s="97">
        <f>+AV133/AF133</f>
        <v>6.6637439388081185E-2</v>
      </c>
      <c r="AX133" s="12">
        <f>SUM(AX120:AX132)</f>
        <v>1522792</v>
      </c>
      <c r="AY133" s="52">
        <f t="shared" si="88"/>
        <v>115808</v>
      </c>
      <c r="AZ133" s="58">
        <f t="shared" si="89"/>
        <v>8.2309393710234088E-2</v>
      </c>
      <c r="BA133" s="58"/>
      <c r="BB133" s="65">
        <f>SUM(BB120:BB132)</f>
        <v>1497639.8110200004</v>
      </c>
      <c r="BC133" s="58"/>
      <c r="BD133" s="58"/>
      <c r="BE133" s="12">
        <f>SUM(BE120:BE132)</f>
        <v>1603564</v>
      </c>
      <c r="BF133" s="52">
        <f t="shared" si="136"/>
        <v>80772</v>
      </c>
      <c r="BG133" s="58">
        <f t="shared" si="137"/>
        <v>5.3042043824763983E-2</v>
      </c>
      <c r="BH133" s="65">
        <f>SUM(BH120:BH132)</f>
        <v>3374</v>
      </c>
      <c r="BI133" s="65"/>
      <c r="BJ133" s="65"/>
      <c r="BK133" s="65">
        <f>SUM(BK120:BK132)</f>
        <v>379</v>
      </c>
      <c r="BL133" s="39">
        <f t="shared" si="90"/>
        <v>1607317</v>
      </c>
      <c r="BM133" s="39">
        <f t="shared" si="138"/>
        <v>105195.18897999963</v>
      </c>
      <c r="BN133" s="30">
        <f>SUM(BN120:BN132)</f>
        <v>1661274</v>
      </c>
      <c r="BO133" s="684">
        <f>SUM(BO120:BO131)</f>
        <v>1667784</v>
      </c>
      <c r="BP133" s="39">
        <f t="shared" si="86"/>
        <v>64220</v>
      </c>
      <c r="BQ133" s="51">
        <f t="shared" si="139"/>
        <v>7.0031064197495357E-2</v>
      </c>
      <c r="BR133" s="99">
        <f t="shared" si="87"/>
        <v>4.0048292428615261E-2</v>
      </c>
      <c r="BS133" s="30"/>
      <c r="BW133" s="658">
        <f>BW120+BW121+BW122+BW123+BW124+BW125+BW126+BW127+BW128+BW129+BW130+BW131+BW132</f>
        <v>1714585.9500000002</v>
      </c>
      <c r="BX133" s="636">
        <f t="shared" si="141"/>
        <v>107268.95000000019</v>
      </c>
      <c r="BY133" s="543">
        <f t="shared" si="142"/>
        <v>6.6737893022969452E-2</v>
      </c>
    </row>
    <row r="134" spans="1:77" s="13" customFormat="1" ht="18" customHeight="1">
      <c r="A134" s="85"/>
      <c r="D134" s="323"/>
      <c r="E134" s="352"/>
      <c r="G134" s="10"/>
      <c r="H134" s="14"/>
      <c r="J134" s="10"/>
      <c r="K134" s="14"/>
      <c r="L134" s="12"/>
      <c r="M134" s="25"/>
      <c r="N134" s="38"/>
      <c r="O134" s="12"/>
      <c r="P134" s="12"/>
      <c r="Q134" s="36"/>
      <c r="R134" s="12"/>
      <c r="S134" s="12"/>
      <c r="T134" s="36"/>
      <c r="U134" s="12"/>
      <c r="V134" s="12"/>
      <c r="W134" s="36"/>
      <c r="X134" s="181"/>
      <c r="Y134" s="12"/>
      <c r="Z134" s="98"/>
      <c r="AA134" s="12"/>
      <c r="AB134" s="165"/>
      <c r="AC134" s="97"/>
      <c r="AD134" s="12">
        <f>+AD136+AD137</f>
        <v>63800</v>
      </c>
      <c r="AE134" s="12"/>
      <c r="AF134" s="12"/>
      <c r="AG134" s="52"/>
      <c r="AH134" s="58"/>
      <c r="AJ134" s="12"/>
      <c r="AK134" s="12"/>
      <c r="AM134" s="256"/>
      <c r="AN134" s="256"/>
      <c r="AO134" s="256"/>
      <c r="AR134" s="12"/>
      <c r="AS134" s="12"/>
      <c r="AT134" s="12"/>
      <c r="AU134" s="36"/>
      <c r="AV134" s="12"/>
      <c r="AW134" s="97"/>
      <c r="AX134" s="12"/>
      <c r="AY134" s="52"/>
      <c r="AZ134" s="58"/>
      <c r="BA134" s="58"/>
      <c r="BB134" s="58"/>
      <c r="BC134" s="58"/>
      <c r="BD134" s="58"/>
      <c r="BE134" s="12"/>
      <c r="BF134" s="52"/>
      <c r="BG134" s="58"/>
      <c r="BH134" s="65"/>
      <c r="BI134" s="65"/>
      <c r="BJ134" s="65"/>
      <c r="BK134" s="65"/>
      <c r="BL134" s="39"/>
      <c r="BM134" s="39"/>
      <c r="BN134" s="39"/>
      <c r="BO134" s="534"/>
      <c r="BP134" s="39">
        <f t="shared" si="86"/>
        <v>0</v>
      </c>
      <c r="BQ134" s="51"/>
      <c r="BR134" s="99" t="e">
        <f t="shared" si="87"/>
        <v>#DIV/0!</v>
      </c>
      <c r="BS134" s="30"/>
      <c r="BW134" s="280">
        <f t="shared" ref="BW134:BW144" si="164">BN134+BS134+BT134+BU134+BV134</f>
        <v>0</v>
      </c>
      <c r="BX134" s="39">
        <f t="shared" si="141"/>
        <v>0</v>
      </c>
      <c r="BY134" s="51" t="e">
        <f t="shared" si="142"/>
        <v>#DIV/0!</v>
      </c>
    </row>
    <row r="135" spans="1:77" s="13" customFormat="1" ht="18" customHeight="1">
      <c r="A135" s="64"/>
      <c r="D135" s="323"/>
      <c r="E135" s="352"/>
      <c r="G135" s="10"/>
      <c r="H135" s="14"/>
      <c r="J135" s="10"/>
      <c r="K135" s="14"/>
      <c r="L135" s="12"/>
      <c r="M135" s="25"/>
      <c r="N135" s="38"/>
      <c r="O135" s="12"/>
      <c r="P135" s="12"/>
      <c r="Q135" s="36"/>
      <c r="R135" s="12"/>
      <c r="S135" s="12"/>
      <c r="T135" s="36"/>
      <c r="U135" s="12"/>
      <c r="V135" s="12"/>
      <c r="W135" s="36"/>
      <c r="X135" s="181"/>
      <c r="Y135" s="12"/>
      <c r="Z135" s="98"/>
      <c r="AA135" s="12"/>
      <c r="AB135" s="165"/>
      <c r="AC135" s="97"/>
      <c r="AD135" s="12">
        <f>+AD134+AD133</f>
        <v>1423497</v>
      </c>
      <c r="AE135" s="12"/>
      <c r="AF135" s="12"/>
      <c r="AG135" s="52"/>
      <c r="AH135" s="58"/>
      <c r="AJ135" s="12"/>
      <c r="AK135" s="12"/>
      <c r="AM135" s="256"/>
      <c r="AN135" s="256"/>
      <c r="AO135" s="256"/>
      <c r="AR135" s="12"/>
      <c r="AS135" s="12"/>
      <c r="AT135" s="12"/>
      <c r="AU135" s="36"/>
      <c r="AV135" s="12">
        <f>AS133-AF135</f>
        <v>1502121.8110200004</v>
      </c>
      <c r="AW135" s="97" t="e">
        <f>AV135/AF135</f>
        <v>#DIV/0!</v>
      </c>
      <c r="AX135" s="12"/>
      <c r="AY135" s="52"/>
      <c r="AZ135" s="58"/>
      <c r="BA135" s="58"/>
      <c r="BB135" s="58"/>
      <c r="BC135" s="58"/>
      <c r="BD135" s="58"/>
      <c r="BE135" s="12"/>
      <c r="BF135" s="52"/>
      <c r="BG135" s="58"/>
      <c r="BH135" s="65"/>
      <c r="BI135" s="65"/>
      <c r="BJ135" s="65"/>
      <c r="BK135" s="65"/>
      <c r="BL135" s="39"/>
      <c r="BM135" s="39"/>
      <c r="BN135" s="39"/>
      <c r="BO135" s="534"/>
      <c r="BP135" s="39">
        <f t="shared" si="86"/>
        <v>0</v>
      </c>
      <c r="BQ135" s="51"/>
      <c r="BR135" s="99" t="e">
        <f t="shared" si="87"/>
        <v>#DIV/0!</v>
      </c>
      <c r="BS135" s="30"/>
      <c r="BW135" s="280">
        <f t="shared" si="164"/>
        <v>0</v>
      </c>
      <c r="BX135" s="39">
        <f t="shared" si="141"/>
        <v>0</v>
      </c>
      <c r="BY135" s="51" t="e">
        <f t="shared" si="142"/>
        <v>#DIV/0!</v>
      </c>
    </row>
    <row r="136" spans="1:77" s="13" customFormat="1" ht="18" customHeight="1">
      <c r="A136" s="64"/>
      <c r="D136" s="323"/>
      <c r="E136" s="352"/>
      <c r="G136" s="10"/>
      <c r="H136" s="14"/>
      <c r="J136" s="10"/>
      <c r="K136" s="14"/>
      <c r="L136" s="12"/>
      <c r="M136" s="25"/>
      <c r="N136" s="38"/>
      <c r="O136" s="12"/>
      <c r="P136" s="12"/>
      <c r="Q136" s="36"/>
      <c r="R136" s="12"/>
      <c r="S136" s="12"/>
      <c r="T136" s="36"/>
      <c r="U136" s="12"/>
      <c r="V136" s="12"/>
      <c r="W136" s="36"/>
      <c r="X136" s="180"/>
      <c r="Y136" s="163"/>
      <c r="Z136" s="98"/>
      <c r="AA136" s="202"/>
      <c r="AB136" s="172"/>
      <c r="AC136" s="97"/>
      <c r="AD136" s="13">
        <v>39200</v>
      </c>
      <c r="AE136" s="13" t="s">
        <v>247</v>
      </c>
      <c r="AF136" s="12"/>
      <c r="AG136" s="12"/>
      <c r="AX136" s="12"/>
      <c r="AY136" s="52"/>
      <c r="AZ136" s="58"/>
      <c r="BA136" s="58"/>
      <c r="BB136" s="58"/>
      <c r="BC136" s="58"/>
      <c r="BD136" s="58"/>
      <c r="BE136" s="12"/>
      <c r="BF136" s="52"/>
      <c r="BG136" s="58"/>
      <c r="BH136" s="65"/>
      <c r="BI136" s="65"/>
      <c r="BJ136" s="65"/>
      <c r="BK136" s="65"/>
      <c r="BL136" s="39"/>
      <c r="BM136" s="39"/>
      <c r="BN136" s="39"/>
      <c r="BO136" s="534"/>
      <c r="BP136" s="39">
        <f t="shared" ref="BP136:BP199" si="165">BO136-BE136</f>
        <v>0</v>
      </c>
      <c r="BQ136" s="51"/>
      <c r="BR136" s="99" t="e">
        <f t="shared" ref="BR136:BR199" si="166">BP136/BE136</f>
        <v>#DIV/0!</v>
      </c>
      <c r="BS136" s="30"/>
      <c r="BW136" s="280">
        <f t="shared" si="164"/>
        <v>0</v>
      </c>
      <c r="BX136" s="39">
        <f t="shared" si="141"/>
        <v>0</v>
      </c>
      <c r="BY136" s="51" t="e">
        <f t="shared" si="142"/>
        <v>#DIV/0!</v>
      </c>
    </row>
    <row r="137" spans="1:77" ht="18" customHeight="1">
      <c r="A137" s="73" t="s">
        <v>122</v>
      </c>
      <c r="D137" s="323"/>
      <c r="E137" s="352"/>
      <c r="G137" s="10"/>
      <c r="J137" s="10"/>
      <c r="N137" s="58"/>
      <c r="Q137" s="58"/>
      <c r="R137" s="52"/>
      <c r="S137" s="52"/>
      <c r="T137" s="58"/>
      <c r="U137" s="52"/>
      <c r="V137" s="52"/>
      <c r="W137" s="58"/>
      <c r="AB137" s="172"/>
      <c r="AD137" s="50">
        <v>24600</v>
      </c>
      <c r="AE137" s="220" t="s">
        <v>248</v>
      </c>
      <c r="BH137" s="65"/>
      <c r="BI137" s="65"/>
      <c r="BJ137" s="65"/>
      <c r="BK137" s="65"/>
      <c r="BL137" s="39"/>
      <c r="BM137" s="39"/>
      <c r="BN137" s="39"/>
      <c r="BO137" s="534"/>
      <c r="BP137" s="39">
        <f t="shared" si="165"/>
        <v>0</v>
      </c>
      <c r="BQ137" s="51"/>
      <c r="BR137" s="99" t="e">
        <f t="shared" si="166"/>
        <v>#DIV/0!</v>
      </c>
      <c r="BW137" s="280">
        <f t="shared" si="164"/>
        <v>0</v>
      </c>
      <c r="BX137" s="39">
        <f t="shared" si="141"/>
        <v>0</v>
      </c>
      <c r="BY137" s="51" t="e">
        <f t="shared" si="142"/>
        <v>#DIV/0!</v>
      </c>
    </row>
    <row r="138" spans="1:77" ht="18" customHeight="1">
      <c r="A138" s="73" t="s">
        <v>183</v>
      </c>
      <c r="D138" s="323"/>
      <c r="E138" s="352"/>
      <c r="G138" s="10"/>
      <c r="J138" s="10"/>
      <c r="N138" s="58"/>
      <c r="Q138" s="58"/>
      <c r="R138" s="52"/>
      <c r="S138" s="52"/>
      <c r="T138" s="58"/>
      <c r="U138" s="52"/>
      <c r="V138" s="52"/>
      <c r="W138" s="58"/>
      <c r="AB138" s="172"/>
      <c r="BH138" s="65"/>
      <c r="BI138" s="65"/>
      <c r="BJ138" s="65"/>
      <c r="BK138" s="65"/>
      <c r="BL138" s="39"/>
      <c r="BM138" s="39"/>
      <c r="BN138" s="39"/>
      <c r="BO138" s="534"/>
      <c r="BP138" s="39">
        <f t="shared" si="165"/>
        <v>0</v>
      </c>
      <c r="BQ138" s="51"/>
      <c r="BR138" s="99" t="e">
        <f t="shared" si="166"/>
        <v>#DIV/0!</v>
      </c>
      <c r="BW138" s="280">
        <f t="shared" si="164"/>
        <v>0</v>
      </c>
      <c r="BX138" s="39">
        <f t="shared" si="141"/>
        <v>0</v>
      </c>
      <c r="BY138" s="51" t="e">
        <f t="shared" si="142"/>
        <v>#DIV/0!</v>
      </c>
    </row>
    <row r="139" spans="1:77" ht="18" customHeight="1">
      <c r="A139" s="73" t="s">
        <v>135</v>
      </c>
      <c r="D139" s="323"/>
      <c r="E139" s="352"/>
      <c r="G139" s="10"/>
      <c r="J139" s="10"/>
      <c r="L139" s="63"/>
      <c r="M139" s="63"/>
      <c r="N139" s="72"/>
      <c r="O139" s="63"/>
      <c r="P139" s="63"/>
      <c r="Q139" s="72"/>
      <c r="R139" s="52"/>
      <c r="S139" s="52"/>
      <c r="T139" s="58"/>
      <c r="U139" s="52"/>
      <c r="V139" s="52"/>
      <c r="W139" s="58"/>
      <c r="AB139" s="172"/>
      <c r="BH139" s="65"/>
      <c r="BI139" s="65"/>
      <c r="BJ139" s="65"/>
      <c r="BK139" s="65"/>
      <c r="BL139" s="39"/>
      <c r="BM139" s="39"/>
      <c r="BN139" s="39"/>
      <c r="BO139" s="534"/>
      <c r="BP139" s="39">
        <f t="shared" si="165"/>
        <v>0</v>
      </c>
      <c r="BQ139" s="51"/>
      <c r="BR139" s="99" t="e">
        <f t="shared" si="166"/>
        <v>#DIV/0!</v>
      </c>
      <c r="BW139" s="280">
        <f t="shared" si="164"/>
        <v>0</v>
      </c>
      <c r="BX139" s="39">
        <f t="shared" si="141"/>
        <v>0</v>
      </c>
      <c r="BY139" s="51" t="e">
        <f t="shared" si="142"/>
        <v>#DIV/0!</v>
      </c>
    </row>
    <row r="140" spans="1:77" ht="18" customHeight="1">
      <c r="A140" s="73" t="s">
        <v>179</v>
      </c>
      <c r="D140" s="323"/>
      <c r="E140" s="352"/>
      <c r="G140" s="10"/>
      <c r="J140" s="10"/>
      <c r="L140" s="63"/>
      <c r="M140" s="63"/>
      <c r="N140" s="72"/>
      <c r="O140" s="63"/>
      <c r="P140" s="63"/>
      <c r="Q140" s="72"/>
      <c r="R140" s="52"/>
      <c r="S140" s="52"/>
      <c r="T140" s="58"/>
      <c r="U140" s="52"/>
      <c r="V140" s="52"/>
      <c r="W140" s="58"/>
      <c r="AB140" s="172"/>
      <c r="BH140" s="65"/>
      <c r="BI140" s="65"/>
      <c r="BJ140" s="65"/>
      <c r="BK140" s="65"/>
      <c r="BL140" s="39"/>
      <c r="BM140" s="39"/>
      <c r="BN140" s="39"/>
      <c r="BO140" s="534"/>
      <c r="BP140" s="39">
        <f t="shared" si="165"/>
        <v>0</v>
      </c>
      <c r="BQ140" s="51"/>
      <c r="BR140" s="99" t="e">
        <f t="shared" si="166"/>
        <v>#DIV/0!</v>
      </c>
      <c r="BW140" s="280">
        <f t="shared" si="164"/>
        <v>0</v>
      </c>
      <c r="BX140" s="39">
        <f t="shared" si="141"/>
        <v>0</v>
      </c>
      <c r="BY140" s="51" t="e">
        <f t="shared" si="142"/>
        <v>#DIV/0!</v>
      </c>
    </row>
    <row r="141" spans="1:77" ht="18" customHeight="1">
      <c r="A141" s="73" t="s">
        <v>181</v>
      </c>
      <c r="D141" s="323"/>
      <c r="E141" s="352"/>
      <c r="G141" s="10"/>
      <c r="J141" s="10"/>
      <c r="L141" s="63"/>
      <c r="M141" s="63"/>
      <c r="N141" s="72"/>
      <c r="O141" s="63"/>
      <c r="P141" s="63"/>
      <c r="Q141" s="72"/>
      <c r="R141" s="52"/>
      <c r="S141" s="52"/>
      <c r="T141" s="58"/>
      <c r="U141" s="52"/>
      <c r="V141" s="52"/>
      <c r="W141" s="58"/>
      <c r="AB141" s="172"/>
      <c r="BH141" s="65"/>
      <c r="BI141" s="65"/>
      <c r="BJ141" s="65"/>
      <c r="BK141" s="65"/>
      <c r="BL141" s="39"/>
      <c r="BM141" s="39"/>
      <c r="BN141" s="39"/>
      <c r="BO141" s="534"/>
      <c r="BP141" s="39">
        <f t="shared" si="165"/>
        <v>0</v>
      </c>
      <c r="BQ141" s="51"/>
      <c r="BR141" s="99" t="e">
        <f t="shared" si="166"/>
        <v>#DIV/0!</v>
      </c>
      <c r="BW141" s="280">
        <f t="shared" si="164"/>
        <v>0</v>
      </c>
      <c r="BX141" s="39">
        <f t="shared" si="141"/>
        <v>0</v>
      </c>
      <c r="BY141" s="51" t="e">
        <f t="shared" si="142"/>
        <v>#DIV/0!</v>
      </c>
    </row>
    <row r="142" spans="1:77" ht="18" customHeight="1">
      <c r="A142" s="73" t="s">
        <v>136</v>
      </c>
      <c r="D142" s="323"/>
      <c r="E142" s="352"/>
      <c r="G142" s="10"/>
      <c r="J142" s="10"/>
      <c r="L142" s="63"/>
      <c r="M142" s="63"/>
      <c r="N142" s="72"/>
      <c r="O142" s="63"/>
      <c r="P142" s="63"/>
      <c r="Q142" s="72"/>
      <c r="R142" s="52"/>
      <c r="S142" s="52"/>
      <c r="T142" s="58"/>
      <c r="U142" s="52"/>
      <c r="V142" s="52"/>
      <c r="W142" s="58"/>
      <c r="AB142" s="172"/>
      <c r="BH142" s="65"/>
      <c r="BI142" s="65"/>
      <c r="BJ142" s="65"/>
      <c r="BK142" s="65"/>
      <c r="BL142" s="39"/>
      <c r="BM142" s="39"/>
      <c r="BN142" s="39"/>
      <c r="BO142" s="534"/>
      <c r="BP142" s="39">
        <f t="shared" si="165"/>
        <v>0</v>
      </c>
      <c r="BQ142" s="51"/>
      <c r="BR142" s="99" t="e">
        <f t="shared" si="166"/>
        <v>#DIV/0!</v>
      </c>
      <c r="BW142" s="280">
        <f t="shared" si="164"/>
        <v>0</v>
      </c>
      <c r="BX142" s="39">
        <f t="shared" si="141"/>
        <v>0</v>
      </c>
      <c r="BY142" s="51" t="e">
        <f t="shared" si="142"/>
        <v>#DIV/0!</v>
      </c>
    </row>
    <row r="143" spans="1:77" ht="18" customHeight="1">
      <c r="A143" s="73" t="s">
        <v>185</v>
      </c>
      <c r="D143" s="323"/>
      <c r="E143" s="352"/>
      <c r="G143" s="10"/>
      <c r="J143" s="10"/>
      <c r="L143" s="63"/>
      <c r="M143" s="63"/>
      <c r="N143" s="72"/>
      <c r="O143" s="63"/>
      <c r="P143" s="63"/>
      <c r="Q143" s="72"/>
      <c r="R143" s="52"/>
      <c r="S143" s="52"/>
      <c r="T143" s="58"/>
      <c r="U143" s="52"/>
      <c r="V143" s="52"/>
      <c r="W143" s="58"/>
      <c r="AB143" s="172"/>
      <c r="BH143" s="65"/>
      <c r="BI143" s="65"/>
      <c r="BJ143" s="65"/>
      <c r="BK143" s="65"/>
      <c r="BL143" s="39"/>
      <c r="BM143" s="39"/>
      <c r="BN143" s="39"/>
      <c r="BO143" s="534"/>
      <c r="BP143" s="39">
        <f t="shared" si="165"/>
        <v>0</v>
      </c>
      <c r="BQ143" s="51"/>
      <c r="BR143" s="99" t="e">
        <f t="shared" si="166"/>
        <v>#DIV/0!</v>
      </c>
      <c r="BW143" s="280">
        <f t="shared" si="164"/>
        <v>0</v>
      </c>
      <c r="BX143" s="39">
        <f t="shared" si="141"/>
        <v>0</v>
      </c>
      <c r="BY143" s="51" t="e">
        <f t="shared" si="142"/>
        <v>#DIV/0!</v>
      </c>
    </row>
    <row r="144" spans="1:77" ht="18" customHeight="1">
      <c r="A144" s="73"/>
      <c r="D144" s="323"/>
      <c r="E144" s="352"/>
      <c r="G144" s="10"/>
      <c r="J144" s="10"/>
      <c r="L144" s="63"/>
      <c r="M144" s="63"/>
      <c r="N144" s="72"/>
      <c r="O144" s="63"/>
      <c r="P144" s="63"/>
      <c r="Q144" s="72"/>
      <c r="R144" s="52"/>
      <c r="S144" s="52"/>
      <c r="T144" s="58"/>
      <c r="U144" s="52"/>
      <c r="V144" s="52"/>
      <c r="W144" s="58"/>
      <c r="AB144" s="172"/>
      <c r="BH144" s="65"/>
      <c r="BI144" s="65"/>
      <c r="BJ144" s="65"/>
      <c r="BK144" s="65"/>
      <c r="BL144" s="39"/>
      <c r="BM144" s="39"/>
      <c r="BN144" s="39"/>
      <c r="BO144" s="534"/>
      <c r="BP144" s="39">
        <f t="shared" si="165"/>
        <v>0</v>
      </c>
      <c r="BQ144" s="51"/>
      <c r="BR144" s="99" t="e">
        <f t="shared" si="166"/>
        <v>#DIV/0!</v>
      </c>
      <c r="BW144" s="280">
        <f t="shared" si="164"/>
        <v>0</v>
      </c>
      <c r="BX144" s="39">
        <f t="shared" si="141"/>
        <v>0</v>
      </c>
      <c r="BY144" s="51" t="e">
        <f t="shared" si="142"/>
        <v>#DIV/0!</v>
      </c>
    </row>
    <row r="145" spans="1:77" s="109" customFormat="1" ht="18" customHeight="1">
      <c r="A145" s="116" t="s">
        <v>68</v>
      </c>
      <c r="D145" s="354"/>
      <c r="E145" s="357"/>
      <c r="G145" s="358"/>
      <c r="H145" s="360"/>
      <c r="J145" s="358"/>
      <c r="K145" s="360"/>
      <c r="L145" s="105"/>
      <c r="M145" s="105"/>
      <c r="N145" s="117"/>
      <c r="O145" s="105"/>
      <c r="P145" s="105"/>
      <c r="Q145" s="117"/>
      <c r="R145" s="107"/>
      <c r="S145" s="107"/>
      <c r="T145" s="125"/>
      <c r="U145" s="107"/>
      <c r="V145" s="107"/>
      <c r="W145" s="125"/>
      <c r="X145" s="175"/>
      <c r="Y145" s="158"/>
      <c r="Z145" s="111"/>
      <c r="AA145" s="201"/>
      <c r="AB145" s="170"/>
      <c r="AC145" s="113"/>
      <c r="AF145" s="107"/>
      <c r="AG145" s="107"/>
      <c r="AX145" s="107"/>
      <c r="AY145" s="107"/>
      <c r="AZ145" s="125"/>
      <c r="BA145" s="125"/>
      <c r="BB145" s="125"/>
      <c r="BC145" s="125"/>
      <c r="BD145" s="125"/>
      <c r="BE145" s="107"/>
      <c r="BF145" s="107"/>
      <c r="BG145" s="125"/>
      <c r="BH145" s="110"/>
      <c r="BI145" s="110"/>
      <c r="BJ145" s="110"/>
      <c r="BK145" s="110"/>
      <c r="BL145" s="554"/>
      <c r="BM145" s="554"/>
      <c r="BN145" s="554"/>
      <c r="BO145" s="680"/>
      <c r="BP145" s="39">
        <f t="shared" si="165"/>
        <v>0</v>
      </c>
      <c r="BQ145" s="108"/>
      <c r="BR145" s="99" t="e">
        <f t="shared" si="166"/>
        <v>#DIV/0!</v>
      </c>
      <c r="BS145" s="554"/>
      <c r="BW145" s="298"/>
      <c r="BX145" s="554"/>
      <c r="BY145" s="108"/>
    </row>
    <row r="146" spans="1:77" ht="18" customHeight="1">
      <c r="A146" s="59" t="s">
        <v>70</v>
      </c>
      <c r="B146" s="323">
        <f>(197109+3710)-98846</f>
        <v>101973</v>
      </c>
      <c r="C146" s="323">
        <f>(194168+726)-92765</f>
        <v>102129</v>
      </c>
      <c r="D146" s="323">
        <f t="shared" si="143"/>
        <v>156</v>
      </c>
      <c r="E146" s="352">
        <f t="shared" si="144"/>
        <v>1.5298167161895797E-3</v>
      </c>
      <c r="F146" s="10">
        <f>(205286+5666)-109233</f>
        <v>101719</v>
      </c>
      <c r="G146" s="10">
        <f t="shared" si="145"/>
        <v>-410</v>
      </c>
      <c r="H146" s="14">
        <f t="shared" si="146"/>
        <v>-4.0145306426186489E-3</v>
      </c>
      <c r="I146" s="10">
        <f>(218885+1830)-72706</f>
        <v>148009</v>
      </c>
      <c r="J146" s="10">
        <f t="shared" si="147"/>
        <v>46290</v>
      </c>
      <c r="K146" s="14">
        <f t="shared" si="148"/>
        <v>0.4550772225444607</v>
      </c>
      <c r="L146" s="52">
        <f>240299-87340</f>
        <v>152959</v>
      </c>
      <c r="M146" s="52">
        <v>19584</v>
      </c>
      <c r="N146" s="58">
        <v>8.8729809935890178E-2</v>
      </c>
      <c r="O146" s="52">
        <f>276738-109826</f>
        <v>166912</v>
      </c>
      <c r="P146" s="52">
        <f>O146-L146</f>
        <v>13953</v>
      </c>
      <c r="Q146" s="58">
        <f>P146/L146</f>
        <v>9.1220523146725588E-2</v>
      </c>
      <c r="R146" s="52">
        <f>262333-198311</f>
        <v>64022</v>
      </c>
      <c r="S146" s="52">
        <f t="shared" ref="S146:S166" si="167">R146-O146</f>
        <v>-102890</v>
      </c>
      <c r="T146" s="58">
        <f>S146/O146</f>
        <v>-0.61643261119631898</v>
      </c>
      <c r="U146" s="52">
        <f>275962-127968</f>
        <v>147994</v>
      </c>
      <c r="V146" s="52">
        <f>U146-R146</f>
        <v>83972</v>
      </c>
      <c r="W146" s="58">
        <f>V146/R146</f>
        <v>1.311611633500984</v>
      </c>
      <c r="X146" s="166">
        <v>140649</v>
      </c>
      <c r="Y146" s="52">
        <f>X146-U146</f>
        <v>-7345</v>
      </c>
      <c r="Z146" s="95">
        <f>Y146/U146</f>
        <v>-4.9630390421233295E-2</v>
      </c>
      <c r="AA146" s="202">
        <v>171682</v>
      </c>
      <c r="AB146" s="172">
        <f>AA146-X146</f>
        <v>31033</v>
      </c>
      <c r="AC146" s="100">
        <f>AB146/X146</f>
        <v>0.220641454969463</v>
      </c>
      <c r="AD146" s="65">
        <v>144388</v>
      </c>
      <c r="AE146" s="65">
        <v>2725</v>
      </c>
      <c r="AF146" s="52">
        <v>141715</v>
      </c>
      <c r="AG146" s="52">
        <f t="shared" ref="AG146:AG165" si="168">AF146-AA146</f>
        <v>-29967</v>
      </c>
      <c r="AH146" s="58">
        <f t="shared" ref="AH146:AH165" si="169">AG146/AA146</f>
        <v>-0.17454945771833971</v>
      </c>
      <c r="AI146" s="65">
        <f>AD146-2721</f>
        <v>141667</v>
      </c>
      <c r="AJ146" s="65">
        <f>AF146-2721</f>
        <v>138994</v>
      </c>
      <c r="AK146" s="50">
        <v>137301</v>
      </c>
      <c r="AL146" s="136">
        <v>11399</v>
      </c>
      <c r="AM146" s="256">
        <f t="shared" ref="AM146:AM165" si="170">+AL146+AK146</f>
        <v>148700</v>
      </c>
      <c r="AN146" s="27">
        <v>143133</v>
      </c>
      <c r="AO146" s="27">
        <v>145083</v>
      </c>
      <c r="AP146" s="220"/>
      <c r="AQ146" s="219">
        <v>425</v>
      </c>
      <c r="AR146" s="65">
        <f>AP146+AQ146</f>
        <v>425</v>
      </c>
      <c r="AS146" s="65">
        <f>BB146+AR146</f>
        <v>138580.23599000002</v>
      </c>
      <c r="AT146" s="65">
        <f>AS146-AF146</f>
        <v>-3134.7640099999844</v>
      </c>
      <c r="AU146" s="99">
        <f>AT146/AF146</f>
        <v>-2.2120199061496554E-2</v>
      </c>
      <c r="AV146" s="65">
        <f>AS146-AF146</f>
        <v>-3134.7640099999844</v>
      </c>
      <c r="AW146" s="99">
        <f>AV146/AF146</f>
        <v>-2.2120199061496554E-2</v>
      </c>
      <c r="AX146" s="52">
        <f>142325+14000</f>
        <v>156325</v>
      </c>
      <c r="AY146" s="52">
        <f t="shared" ref="AY146:AY203" si="171">AX146-AF146</f>
        <v>14610</v>
      </c>
      <c r="AZ146" s="58">
        <f t="shared" ref="AZ146:AZ203" si="172">AY146/AF146</f>
        <v>0.10309423843629821</v>
      </c>
      <c r="BA146" s="616">
        <f>140174.77438+4567.032</f>
        <v>144741.80637999999</v>
      </c>
      <c r="BB146" s="616">
        <f>135999.79435+2155.44164</f>
        <v>138155.23599000002</v>
      </c>
      <c r="BC146" s="616">
        <f>BA146-BB146</f>
        <v>6586.5703899999789</v>
      </c>
      <c r="BD146" s="31">
        <f>BC146/BA146</f>
        <v>4.5505652822294004E-2</v>
      </c>
      <c r="BE146" s="52">
        <f>165051</f>
        <v>165051</v>
      </c>
      <c r="BF146" s="52">
        <f t="shared" ref="BF146:BF163" si="173">BE146-AX146</f>
        <v>8726</v>
      </c>
      <c r="BG146" s="58">
        <f t="shared" ref="BG146:BG163" si="174">BF146/AX146</f>
        <v>5.5819606588837355E-2</v>
      </c>
      <c r="BH146" s="65"/>
      <c r="BI146" s="65"/>
      <c r="BJ146" s="65"/>
      <c r="BK146" s="65"/>
      <c r="BL146" s="39">
        <f t="shared" ref="BL146:BL203" si="175">BE146+BH146+BI146+BJ146+BK146</f>
        <v>165051</v>
      </c>
      <c r="BM146" s="39">
        <f t="shared" ref="BM146:BM163" si="176">BL146-AS146</f>
        <v>26470.764009999984</v>
      </c>
      <c r="BN146" s="39">
        <v>167135</v>
      </c>
      <c r="BO146" s="534">
        <v>167135</v>
      </c>
      <c r="BP146" s="39">
        <f t="shared" si="165"/>
        <v>2084</v>
      </c>
      <c r="BQ146" s="51">
        <f t="shared" ref="BQ146:BQ163" si="177">BM146/AS146</f>
        <v>0.19101399143172279</v>
      </c>
      <c r="BR146" s="99">
        <f t="shared" si="166"/>
        <v>1.2626400324748108E-2</v>
      </c>
      <c r="BS146" s="39">
        <v>22311</v>
      </c>
      <c r="BV146" s="50">
        <v>110</v>
      </c>
      <c r="BW146" s="280">
        <f t="shared" ref="BW146:BW156" si="178">BN146+BS146+BT146+BU146+BV146</f>
        <v>189556</v>
      </c>
      <c r="BX146" s="39">
        <f t="shared" ref="BX146:BX177" si="179">BW146-BL146</f>
        <v>24505</v>
      </c>
      <c r="BY146" s="51">
        <f t="shared" ref="BY146:BY177" si="180">BX146/BL146</f>
        <v>0.14846926101629193</v>
      </c>
    </row>
    <row r="147" spans="1:77" ht="18" customHeight="1">
      <c r="A147" s="59" t="s">
        <v>97</v>
      </c>
      <c r="B147" s="323">
        <f>74836+1088</f>
        <v>75924</v>
      </c>
      <c r="C147" s="323">
        <f>96069+488</f>
        <v>96557</v>
      </c>
      <c r="D147" s="323">
        <f t="shared" si="143"/>
        <v>20633</v>
      </c>
      <c r="E147" s="352">
        <f t="shared" si="144"/>
        <v>0.27175860070596913</v>
      </c>
      <c r="F147" s="10">
        <f>152504+399</f>
        <v>152903</v>
      </c>
      <c r="G147" s="10">
        <f t="shared" si="145"/>
        <v>56346</v>
      </c>
      <c r="H147" s="14">
        <f t="shared" si="146"/>
        <v>0.58355168449723993</v>
      </c>
      <c r="I147" s="10">
        <f>140432+830</f>
        <v>141262</v>
      </c>
      <c r="J147" s="10">
        <f t="shared" si="147"/>
        <v>-11641</v>
      </c>
      <c r="K147" s="14">
        <f t="shared" si="148"/>
        <v>-7.6133234795916369E-2</v>
      </c>
      <c r="L147" s="52">
        <v>127052</v>
      </c>
      <c r="M147" s="52">
        <v>-14210</v>
      </c>
      <c r="N147" s="58">
        <v>-0.10059322393849726</v>
      </c>
      <c r="O147" s="52">
        <v>159227</v>
      </c>
      <c r="P147" s="52">
        <f t="shared" ref="P147:P165" si="181">O147-L147</f>
        <v>32175</v>
      </c>
      <c r="Q147" s="58">
        <f>P147/L147</f>
        <v>0.25324276674117685</v>
      </c>
      <c r="R147" s="52">
        <v>166624</v>
      </c>
      <c r="S147" s="52">
        <f t="shared" si="167"/>
        <v>7397</v>
      </c>
      <c r="T147" s="58">
        <f>S147/O147</f>
        <v>4.645568904771176E-2</v>
      </c>
      <c r="U147" s="52">
        <v>181976</v>
      </c>
      <c r="V147" s="52">
        <f t="shared" ref="V147:V165" si="182">U147-R147</f>
        <v>15352</v>
      </c>
      <c r="W147" s="58">
        <f t="shared" ref="W147:W163" si="183">V147/R147</f>
        <v>9.2135586710197809E-2</v>
      </c>
      <c r="X147" s="166">
        <v>275453</v>
      </c>
      <c r="Y147" s="52">
        <f>X147-U147</f>
        <v>93477</v>
      </c>
      <c r="Z147" s="95">
        <f>Y147/U147</f>
        <v>0.51367762781905302</v>
      </c>
      <c r="AA147" s="202">
        <v>197575</v>
      </c>
      <c r="AB147" s="172">
        <f>AA147-X147</f>
        <v>-77878</v>
      </c>
      <c r="AC147" s="100">
        <f>AB147/X147</f>
        <v>-0.28272699879834307</v>
      </c>
      <c r="AD147" s="65">
        <v>194161</v>
      </c>
      <c r="AE147" s="65">
        <v>750</v>
      </c>
      <c r="AF147" s="52">
        <v>207368</v>
      </c>
      <c r="AG147" s="52">
        <f t="shared" si="168"/>
        <v>9793</v>
      </c>
      <c r="AH147" s="58">
        <f t="shared" si="169"/>
        <v>4.9565987599645707E-2</v>
      </c>
      <c r="AI147" s="65">
        <f>AD147+11054</f>
        <v>205215</v>
      </c>
      <c r="AJ147" s="65">
        <f>AF147+11054</f>
        <v>218422</v>
      </c>
      <c r="AK147" s="50">
        <v>195699</v>
      </c>
      <c r="AL147" s="136">
        <v>19805</v>
      </c>
      <c r="AM147" s="256">
        <f t="shared" si="170"/>
        <v>215504</v>
      </c>
      <c r="AN147" s="27">
        <v>193830</v>
      </c>
      <c r="AO147" s="27">
        <v>194580</v>
      </c>
      <c r="AP147" s="220"/>
      <c r="AQ147" s="27">
        <v>268</v>
      </c>
      <c r="AR147" s="65">
        <f t="shared" ref="AR147:AR165" si="184">AP147+AQ147</f>
        <v>268</v>
      </c>
      <c r="AS147" s="65">
        <f t="shared" ref="AS147:AS165" si="185">BB147+AR147</f>
        <v>189655.9473</v>
      </c>
      <c r="AT147" s="65">
        <f t="shared" ref="AT147:AT166" si="186">AS147-AF147</f>
        <v>-17712.0527</v>
      </c>
      <c r="AU147" s="99">
        <f t="shared" ref="AU147:AU166" si="187">AT147/AF147</f>
        <v>-8.5413625535280271E-2</v>
      </c>
      <c r="AV147" s="65">
        <f>AS147-AF147</f>
        <v>-17712.0527</v>
      </c>
      <c r="AW147" s="99">
        <f>AV147/AF147</f>
        <v>-8.5413625535280271E-2</v>
      </c>
      <c r="AX147" s="52">
        <v>192346</v>
      </c>
      <c r="AY147" s="52">
        <f t="shared" si="171"/>
        <v>-15022</v>
      </c>
      <c r="AZ147" s="58">
        <f t="shared" si="172"/>
        <v>-7.2441263840129624E-2</v>
      </c>
      <c r="BA147" s="616">
        <f>191596.11706+1000</f>
        <v>192596.11705999999</v>
      </c>
      <c r="BB147" s="616">
        <f>188387.9473+1000</f>
        <v>189387.9473</v>
      </c>
      <c r="BC147" s="616">
        <f t="shared" ref="BC147:BC165" si="188">BA147-BB147</f>
        <v>3208.1697599999898</v>
      </c>
      <c r="BD147" s="31">
        <f t="shared" ref="BD147:BD164" si="189">BC147/BA147</f>
        <v>1.6657499688846479E-2</v>
      </c>
      <c r="BE147" s="52">
        <f>191596+750</f>
        <v>192346</v>
      </c>
      <c r="BF147" s="52">
        <f t="shared" si="173"/>
        <v>0</v>
      </c>
      <c r="BG147" s="58">
        <f t="shared" si="174"/>
        <v>0</v>
      </c>
      <c r="BH147" s="65"/>
      <c r="BI147" s="65"/>
      <c r="BJ147" s="65"/>
      <c r="BK147" s="65"/>
      <c r="BL147" s="39">
        <f t="shared" si="175"/>
        <v>192346</v>
      </c>
      <c r="BM147" s="39">
        <f t="shared" si="176"/>
        <v>2690.0527000000002</v>
      </c>
      <c r="BN147" s="39">
        <v>192439</v>
      </c>
      <c r="BO147" s="534">
        <v>192353</v>
      </c>
      <c r="BP147" s="39">
        <f t="shared" si="165"/>
        <v>7</v>
      </c>
      <c r="BQ147" s="51">
        <f t="shared" si="177"/>
        <v>1.4183856284479407E-2</v>
      </c>
      <c r="BR147" s="99">
        <f t="shared" si="166"/>
        <v>3.6392750564087634E-5</v>
      </c>
      <c r="BS147" s="39">
        <v>8640</v>
      </c>
      <c r="BV147" s="50">
        <v>3</v>
      </c>
      <c r="BW147" s="280">
        <f t="shared" si="178"/>
        <v>201082</v>
      </c>
      <c r="BX147" s="39">
        <f t="shared" si="179"/>
        <v>8736</v>
      </c>
      <c r="BY147" s="51">
        <f t="shared" si="180"/>
        <v>4.541815270398137E-2</v>
      </c>
    </row>
    <row r="148" spans="1:77" ht="18" customHeight="1">
      <c r="A148" s="59" t="s">
        <v>98</v>
      </c>
      <c r="B148" s="323">
        <f>129177+16</f>
        <v>129193</v>
      </c>
      <c r="C148" s="323">
        <f>217704+0</f>
        <v>217704</v>
      </c>
      <c r="D148" s="323">
        <f t="shared" si="143"/>
        <v>88511</v>
      </c>
      <c r="E148" s="352">
        <f t="shared" si="144"/>
        <v>0.68510677823101873</v>
      </c>
      <c r="F148" s="10">
        <f>178195+1</f>
        <v>178196</v>
      </c>
      <c r="G148" s="10">
        <f t="shared" si="145"/>
        <v>-39508</v>
      </c>
      <c r="H148" s="14">
        <f t="shared" si="146"/>
        <v>-0.1814757652592511</v>
      </c>
      <c r="I148" s="10">
        <f>138142</f>
        <v>138142</v>
      </c>
      <c r="J148" s="10">
        <f t="shared" si="147"/>
        <v>-40054</v>
      </c>
      <c r="K148" s="14">
        <f t="shared" si="148"/>
        <v>-0.22477496689039037</v>
      </c>
      <c r="L148" s="52">
        <v>137771</v>
      </c>
      <c r="M148" s="52">
        <v>-99446</v>
      </c>
      <c r="N148" s="58">
        <v>-0.41921953317005106</v>
      </c>
      <c r="O148" s="52">
        <v>194138</v>
      </c>
      <c r="P148" s="52">
        <f t="shared" si="181"/>
        <v>56367</v>
      </c>
      <c r="Q148" s="58">
        <f>P148/L148</f>
        <v>0.40913544940517232</v>
      </c>
      <c r="R148" s="52">
        <v>199074</v>
      </c>
      <c r="S148" s="52">
        <f t="shared" si="167"/>
        <v>4936</v>
      </c>
      <c r="T148" s="58">
        <f>S148/O148</f>
        <v>2.5425212992819541E-2</v>
      </c>
      <c r="U148" s="52">
        <v>196393</v>
      </c>
      <c r="V148" s="52">
        <f t="shared" si="182"/>
        <v>-2681</v>
      </c>
      <c r="W148" s="58">
        <f t="shared" si="183"/>
        <v>-1.3467353848317711E-2</v>
      </c>
      <c r="X148" s="166">
        <v>210216</v>
      </c>
      <c r="Y148" s="52">
        <f>X148-U148</f>
        <v>13823</v>
      </c>
      <c r="Z148" s="95">
        <f>Y148/U148</f>
        <v>7.0384382335419285E-2</v>
      </c>
      <c r="AA148" s="202">
        <v>213640</v>
      </c>
      <c r="AB148" s="172">
        <f>AA148-X148</f>
        <v>3424</v>
      </c>
      <c r="AC148" s="100">
        <f>AB148/X148</f>
        <v>1.628800852456521E-2</v>
      </c>
      <c r="AD148" s="65">
        <v>191390</v>
      </c>
      <c r="AE148" s="65">
        <v>4424</v>
      </c>
      <c r="AF148" s="52">
        <v>195190</v>
      </c>
      <c r="AG148" s="52">
        <f t="shared" si="168"/>
        <v>-18450</v>
      </c>
      <c r="AH148" s="58">
        <f t="shared" si="169"/>
        <v>-8.6360232166261E-2</v>
      </c>
      <c r="AI148" s="65">
        <f>AD148-850</f>
        <v>190540</v>
      </c>
      <c r="AJ148" s="65">
        <f>AF148+40</f>
        <v>195230</v>
      </c>
      <c r="AK148" s="50">
        <v>189781</v>
      </c>
      <c r="AL148" s="136">
        <v>2420</v>
      </c>
      <c r="AM148" s="256">
        <f t="shared" si="170"/>
        <v>192201</v>
      </c>
      <c r="AN148" s="27">
        <v>167805</v>
      </c>
      <c r="AO148" s="27">
        <v>172432</v>
      </c>
      <c r="AQ148" s="27">
        <v>922</v>
      </c>
      <c r="AR148" s="65">
        <f t="shared" si="184"/>
        <v>922</v>
      </c>
      <c r="AS148" s="65">
        <f t="shared" si="185"/>
        <v>165964.76788000003</v>
      </c>
      <c r="AT148" s="65">
        <f t="shared" si="186"/>
        <v>-29225.232119999971</v>
      </c>
      <c r="AU148" s="99">
        <f t="shared" si="187"/>
        <v>-0.14972709728982003</v>
      </c>
      <c r="AV148" s="65">
        <f>AS148-AF148</f>
        <v>-29225.232119999971</v>
      </c>
      <c r="AW148" s="99">
        <f>AV148/AF148</f>
        <v>-0.14972709728982003</v>
      </c>
      <c r="AX148" s="52">
        <v>167274</v>
      </c>
      <c r="AY148" s="52">
        <f t="shared" si="171"/>
        <v>-27916</v>
      </c>
      <c r="AZ148" s="58">
        <f t="shared" si="172"/>
        <v>-0.14301962190685999</v>
      </c>
      <c r="BA148" s="616">
        <f>162686.85373+5487.64028</f>
        <v>168174.49400999999</v>
      </c>
      <c r="BB148" s="616">
        <f>160970.87212+4071.89576</f>
        <v>165042.76788000003</v>
      </c>
      <c r="BC148" s="616">
        <f t="shared" si="188"/>
        <v>3131.7261299999664</v>
      </c>
      <c r="BD148" s="31">
        <f t="shared" si="189"/>
        <v>1.8621885253383E-2</v>
      </c>
      <c r="BE148" s="52">
        <f>161598</f>
        <v>161598</v>
      </c>
      <c r="BF148" s="52">
        <f t="shared" si="173"/>
        <v>-5676</v>
      </c>
      <c r="BG148" s="58">
        <f t="shared" si="174"/>
        <v>-3.3932350514724346E-2</v>
      </c>
      <c r="BH148" s="65"/>
      <c r="BI148" s="65"/>
      <c r="BJ148" s="65"/>
      <c r="BK148" s="65"/>
      <c r="BL148" s="39">
        <f t="shared" si="175"/>
        <v>161598</v>
      </c>
      <c r="BM148" s="39">
        <f t="shared" si="176"/>
        <v>-4366.7678800000285</v>
      </c>
      <c r="BN148" s="39">
        <v>170917</v>
      </c>
      <c r="BO148" s="534">
        <v>171917</v>
      </c>
      <c r="BP148" s="39">
        <f t="shared" si="165"/>
        <v>10319</v>
      </c>
      <c r="BQ148" s="51">
        <f t="shared" si="177"/>
        <v>-2.631141498150618E-2</v>
      </c>
      <c r="BR148" s="99">
        <f t="shared" si="166"/>
        <v>6.3855988316687082E-2</v>
      </c>
      <c r="BS148" s="39">
        <v>8486</v>
      </c>
      <c r="BV148" s="50">
        <v>186</v>
      </c>
      <c r="BW148" s="280">
        <f t="shared" si="178"/>
        <v>179589</v>
      </c>
      <c r="BX148" s="39">
        <f t="shared" si="179"/>
        <v>17991</v>
      </c>
      <c r="BY148" s="51">
        <f t="shared" si="180"/>
        <v>0.11133182341365611</v>
      </c>
    </row>
    <row r="149" spans="1:77" ht="18" customHeight="1">
      <c r="A149" s="349" t="s">
        <v>397</v>
      </c>
      <c r="B149" s="325"/>
      <c r="C149" s="325"/>
      <c r="D149" s="325"/>
      <c r="E149" s="325"/>
      <c r="F149" s="325"/>
      <c r="G149" s="325"/>
      <c r="H149" s="325"/>
      <c r="I149" s="325"/>
      <c r="J149" s="325"/>
      <c r="K149" s="325"/>
      <c r="L149" s="66"/>
      <c r="M149" s="256"/>
      <c r="N149" s="512"/>
      <c r="O149" s="324"/>
      <c r="P149" s="256"/>
      <c r="Q149" s="275"/>
      <c r="R149" s="256"/>
      <c r="S149" s="256"/>
      <c r="T149" s="60"/>
      <c r="U149" s="52"/>
      <c r="V149" s="52"/>
      <c r="W149" s="60"/>
      <c r="Y149" s="52"/>
      <c r="AB149" s="172"/>
      <c r="AC149" s="70"/>
      <c r="AG149" s="52">
        <f t="shared" si="168"/>
        <v>0</v>
      </c>
      <c r="AH149" s="58" t="e">
        <f t="shared" si="169"/>
        <v>#DIV/0!</v>
      </c>
      <c r="AJ149" s="50">
        <v>0</v>
      </c>
      <c r="AL149" s="136"/>
      <c r="AM149" s="256">
        <f t="shared" si="170"/>
        <v>0</v>
      </c>
      <c r="AN149" s="261">
        <v>0</v>
      </c>
      <c r="AO149" s="261">
        <v>0</v>
      </c>
      <c r="AQ149" s="65"/>
      <c r="AR149" s="65">
        <f t="shared" si="184"/>
        <v>0</v>
      </c>
      <c r="AS149" s="65">
        <f t="shared" si="185"/>
        <v>0</v>
      </c>
      <c r="AT149" s="65">
        <f t="shared" si="186"/>
        <v>0</v>
      </c>
      <c r="AU149" s="99" t="e">
        <f t="shared" si="187"/>
        <v>#DIV/0!</v>
      </c>
      <c r="AV149" s="65"/>
      <c r="AW149" s="99"/>
      <c r="AY149" s="52">
        <f t="shared" si="171"/>
        <v>0</v>
      </c>
      <c r="AZ149" s="58" t="e">
        <f t="shared" si="172"/>
        <v>#DIV/0!</v>
      </c>
      <c r="BC149" s="616">
        <f t="shared" si="188"/>
        <v>0</v>
      </c>
      <c r="BD149" s="31"/>
      <c r="BE149" s="52">
        <v>698</v>
      </c>
      <c r="BF149" s="52">
        <f t="shared" si="173"/>
        <v>698</v>
      </c>
      <c r="BG149" s="58" t="e">
        <f t="shared" si="174"/>
        <v>#DIV/0!</v>
      </c>
      <c r="BH149" s="65"/>
      <c r="BI149" s="65"/>
      <c r="BJ149" s="65"/>
      <c r="BK149" s="65"/>
      <c r="BL149" s="39">
        <f t="shared" si="175"/>
        <v>698</v>
      </c>
      <c r="BM149" s="39">
        <f t="shared" si="176"/>
        <v>698</v>
      </c>
      <c r="BN149" s="39">
        <v>700</v>
      </c>
      <c r="BO149" s="534">
        <v>597</v>
      </c>
      <c r="BP149" s="39">
        <f t="shared" si="165"/>
        <v>-101</v>
      </c>
      <c r="BQ149" s="51" t="e">
        <f t="shared" si="177"/>
        <v>#DIV/0!</v>
      </c>
      <c r="BR149" s="99">
        <f t="shared" si="166"/>
        <v>-0.14469914040114612</v>
      </c>
      <c r="BW149" s="280">
        <f t="shared" si="178"/>
        <v>700</v>
      </c>
      <c r="BX149" s="39">
        <f t="shared" si="179"/>
        <v>2</v>
      </c>
      <c r="BY149" s="51">
        <f t="shared" si="180"/>
        <v>2.8653295128939827E-3</v>
      </c>
    </row>
    <row r="150" spans="1:77" ht="18" customHeight="1">
      <c r="A150" s="59" t="s">
        <v>188</v>
      </c>
      <c r="B150" s="323">
        <f>(325339+8354)-B163</f>
        <v>75167</v>
      </c>
      <c r="C150" s="323">
        <f>(356499+8900)-C163</f>
        <v>94023</v>
      </c>
      <c r="D150" s="323">
        <f>C150-B150</f>
        <v>18856</v>
      </c>
      <c r="E150" s="352">
        <f t="shared" si="144"/>
        <v>0.25085476339351043</v>
      </c>
      <c r="F150" s="10">
        <f>(422735+9389)-F163</f>
        <v>75000</v>
      </c>
      <c r="G150" s="10">
        <f t="shared" si="145"/>
        <v>-19023</v>
      </c>
      <c r="H150" s="14">
        <f t="shared" si="146"/>
        <v>-0.20232283590185379</v>
      </c>
      <c r="I150" s="10">
        <f>(479853+13696)-I163</f>
        <v>75161</v>
      </c>
      <c r="J150" s="10">
        <f t="shared" si="147"/>
        <v>161</v>
      </c>
      <c r="K150" s="14">
        <f t="shared" si="148"/>
        <v>2.1466666666666665E-3</v>
      </c>
      <c r="L150" s="52">
        <f>472382-L163</f>
        <v>39869</v>
      </c>
      <c r="M150" s="52">
        <v>-21167</v>
      </c>
      <c r="N150" s="58">
        <v>-4.288733236213628E-2</v>
      </c>
      <c r="O150" s="62">
        <f>530404-O163</f>
        <v>85423</v>
      </c>
      <c r="P150" s="52">
        <f t="shared" si="181"/>
        <v>45554</v>
      </c>
      <c r="Q150" s="58">
        <f t="shared" ref="Q150:Q163" si="190">P150/L150</f>
        <v>1.1425919887631995</v>
      </c>
      <c r="R150" s="52">
        <f>582107-R163</f>
        <v>95396</v>
      </c>
      <c r="S150" s="52">
        <f t="shared" si="167"/>
        <v>9973</v>
      </c>
      <c r="T150" s="58">
        <f t="shared" ref="T150:T163" si="191">S150/O150</f>
        <v>0.11674841670276155</v>
      </c>
      <c r="U150" s="52">
        <f>642434-U163</f>
        <v>94997</v>
      </c>
      <c r="V150" s="52">
        <f t="shared" si="182"/>
        <v>-399</v>
      </c>
      <c r="W150" s="58">
        <f t="shared" si="183"/>
        <v>-4.1825653067214556E-3</v>
      </c>
      <c r="X150" s="166">
        <f>676559-X163</f>
        <v>102950</v>
      </c>
      <c r="Y150" s="52">
        <f t="shared" ref="Y150:Y166" si="192">X150-U150</f>
        <v>7953</v>
      </c>
      <c r="Z150" s="95">
        <f t="shared" ref="Z150:Z163" si="193">Y150/U150</f>
        <v>8.3718433213680429E-2</v>
      </c>
      <c r="AA150" s="202">
        <v>109709</v>
      </c>
      <c r="AB150" s="172">
        <f t="shared" ref="AB150:AB163" si="194">AA150-X150</f>
        <v>6759</v>
      </c>
      <c r="AC150" s="100">
        <f t="shared" ref="AC150:AC162" si="195">AB150/X150</f>
        <v>6.565322972316659E-2</v>
      </c>
      <c r="AD150" s="65">
        <v>78190</v>
      </c>
      <c r="AE150" s="65">
        <v>14272</v>
      </c>
      <c r="AF150" s="52">
        <v>96296</v>
      </c>
      <c r="AG150" s="52">
        <f t="shared" si="168"/>
        <v>-13413</v>
      </c>
      <c r="AH150" s="58">
        <f t="shared" si="169"/>
        <v>-0.12225979637039805</v>
      </c>
      <c r="AI150" s="65">
        <f>AD150-2049</f>
        <v>76141</v>
      </c>
      <c r="AJ150" s="65">
        <f>AF150-2326</f>
        <v>93970</v>
      </c>
      <c r="AK150" s="245">
        <v>80559</v>
      </c>
      <c r="AL150" s="136"/>
      <c r="AM150" s="256">
        <f t="shared" si="170"/>
        <v>80559</v>
      </c>
      <c r="AN150" s="27">
        <v>73448</v>
      </c>
      <c r="AO150" s="27">
        <v>88400</v>
      </c>
      <c r="AP150" s="220"/>
      <c r="AQ150" s="219"/>
      <c r="AR150" s="65">
        <f t="shared" si="184"/>
        <v>0</v>
      </c>
      <c r="AS150" s="65">
        <f t="shared" si="185"/>
        <v>86601.127980000005</v>
      </c>
      <c r="AT150" s="65">
        <f t="shared" si="186"/>
        <v>-9694.8720199999952</v>
      </c>
      <c r="AU150" s="99">
        <f t="shared" si="187"/>
        <v>-0.10067782690869813</v>
      </c>
      <c r="AV150" s="65">
        <f t="shared" ref="AV150:AV156" si="196">AS150-AF150</f>
        <v>-9694.8720199999952</v>
      </c>
      <c r="AW150" s="99">
        <f t="shared" ref="AW150:AW156" si="197">AV150/AF150</f>
        <v>-0.10067782690869813</v>
      </c>
      <c r="AX150" s="52">
        <v>87102</v>
      </c>
      <c r="AY150" s="52">
        <f t="shared" si="171"/>
        <v>-9194</v>
      </c>
      <c r="AZ150" s="58">
        <f t="shared" si="172"/>
        <v>-9.5476447619838825E-2</v>
      </c>
      <c r="BA150" s="616">
        <f>74017.80624+16878.62667</f>
        <v>90896.432910000003</v>
      </c>
      <c r="BB150" s="616">
        <f>72814.55601+13786.57197</f>
        <v>86601.127980000005</v>
      </c>
      <c r="BC150" s="616">
        <f t="shared" si="188"/>
        <v>4295.3049299999984</v>
      </c>
      <c r="BD150" s="31">
        <f t="shared" si="189"/>
        <v>4.7254933912015476E-2</v>
      </c>
      <c r="BE150" s="52">
        <f>78172+7761+12500</f>
        <v>98433</v>
      </c>
      <c r="BF150" s="52">
        <f t="shared" si="173"/>
        <v>11331</v>
      </c>
      <c r="BG150" s="58">
        <f t="shared" si="174"/>
        <v>0.13008886133498657</v>
      </c>
      <c r="BH150" s="65"/>
      <c r="BI150" s="65"/>
      <c r="BJ150" s="65"/>
      <c r="BK150" s="65"/>
      <c r="BL150" s="39">
        <f t="shared" si="175"/>
        <v>98433</v>
      </c>
      <c r="BM150" s="39">
        <f t="shared" si="176"/>
        <v>11831.872019999995</v>
      </c>
      <c r="BN150" s="39">
        <v>99377</v>
      </c>
      <c r="BO150" s="534">
        <v>99922</v>
      </c>
      <c r="BP150" s="39">
        <f t="shared" si="165"/>
        <v>1489</v>
      </c>
      <c r="BQ150" s="51">
        <f t="shared" si="177"/>
        <v>0.13662491812730768</v>
      </c>
      <c r="BR150" s="99">
        <f t="shared" si="166"/>
        <v>1.5127040728211067E-2</v>
      </c>
      <c r="BS150" s="39">
        <v>17814</v>
      </c>
      <c r="BV150" s="220">
        <v>7</v>
      </c>
      <c r="BW150" s="280">
        <f t="shared" si="178"/>
        <v>117198</v>
      </c>
      <c r="BX150" s="39">
        <f t="shared" si="179"/>
        <v>18765</v>
      </c>
      <c r="BY150" s="51">
        <f t="shared" si="180"/>
        <v>0.19063728627594403</v>
      </c>
    </row>
    <row r="151" spans="1:77" s="79" customFormat="1" ht="18" customHeight="1">
      <c r="A151" s="59" t="s">
        <v>86</v>
      </c>
      <c r="B151" s="323">
        <f>24577+2155</f>
        <v>26732</v>
      </c>
      <c r="C151" s="323">
        <f>26636+609</f>
        <v>27245</v>
      </c>
      <c r="D151" s="323">
        <f t="shared" si="143"/>
        <v>513</v>
      </c>
      <c r="E151" s="352">
        <f t="shared" si="144"/>
        <v>1.9190483315876104E-2</v>
      </c>
      <c r="F151" s="582">
        <f>29438+975</f>
        <v>30413</v>
      </c>
      <c r="G151" s="582">
        <f t="shared" si="145"/>
        <v>3168</v>
      </c>
      <c r="H151" s="274">
        <f t="shared" si="146"/>
        <v>0.11627821618645623</v>
      </c>
      <c r="I151" s="582">
        <f>31090+1014</f>
        <v>32104</v>
      </c>
      <c r="J151" s="582">
        <f t="shared" si="147"/>
        <v>1691</v>
      </c>
      <c r="K151" s="274">
        <f t="shared" si="148"/>
        <v>5.560122316114819E-2</v>
      </c>
      <c r="L151" s="62">
        <v>32538</v>
      </c>
      <c r="M151" s="62">
        <v>435</v>
      </c>
      <c r="N151" s="241">
        <v>1.3550135501355014E-2</v>
      </c>
      <c r="O151" s="62">
        <v>35352</v>
      </c>
      <c r="P151" s="62">
        <f t="shared" si="181"/>
        <v>2814</v>
      </c>
      <c r="Q151" s="241">
        <f t="shared" si="190"/>
        <v>8.6483496219804543E-2</v>
      </c>
      <c r="R151" s="62">
        <v>43693</v>
      </c>
      <c r="S151" s="62">
        <f t="shared" si="167"/>
        <v>8341</v>
      </c>
      <c r="T151" s="241">
        <f t="shared" si="191"/>
        <v>0.23594138945462775</v>
      </c>
      <c r="U151" s="62">
        <v>47812</v>
      </c>
      <c r="V151" s="62">
        <f t="shared" si="182"/>
        <v>4119</v>
      </c>
      <c r="W151" s="241">
        <f t="shared" si="183"/>
        <v>9.427139358707344E-2</v>
      </c>
      <c r="X151" s="166">
        <v>53024</v>
      </c>
      <c r="Y151" s="62">
        <f t="shared" si="192"/>
        <v>5212</v>
      </c>
      <c r="Z151" s="95">
        <f t="shared" si="193"/>
        <v>0.10901029030368944</v>
      </c>
      <c r="AA151" s="202">
        <v>47312</v>
      </c>
      <c r="AB151" s="583">
        <f t="shared" si="194"/>
        <v>-5712</v>
      </c>
      <c r="AC151" s="584">
        <f t="shared" si="195"/>
        <v>-0.10772480386240194</v>
      </c>
      <c r="AD151" s="78">
        <v>39625</v>
      </c>
      <c r="AE151" s="78">
        <v>2014</v>
      </c>
      <c r="AF151" s="62">
        <v>48510</v>
      </c>
      <c r="AG151" s="62">
        <f t="shared" si="168"/>
        <v>1198</v>
      </c>
      <c r="AH151" s="241">
        <f t="shared" si="169"/>
        <v>2.5321271559012513E-2</v>
      </c>
      <c r="AI151" s="78">
        <f>AD151+3092</f>
        <v>42717</v>
      </c>
      <c r="AJ151" s="78">
        <f>AF151+3092</f>
        <v>51602</v>
      </c>
      <c r="AK151" s="245">
        <v>46325</v>
      </c>
      <c r="AL151" s="136">
        <v>350</v>
      </c>
      <c r="AM151" s="202">
        <f t="shared" si="170"/>
        <v>46675</v>
      </c>
      <c r="AN151" s="519">
        <v>38666</v>
      </c>
      <c r="AO151" s="519">
        <v>40065</v>
      </c>
      <c r="AP151" s="78">
        <v>4663</v>
      </c>
      <c r="AQ151" s="78">
        <v>603</v>
      </c>
      <c r="AR151" s="78">
        <f t="shared" si="184"/>
        <v>5266</v>
      </c>
      <c r="AS151" s="65">
        <f t="shared" si="185"/>
        <v>43667.288260000001</v>
      </c>
      <c r="AT151" s="78">
        <f t="shared" si="186"/>
        <v>-4842.7117399999988</v>
      </c>
      <c r="AU151" s="260">
        <f t="shared" si="187"/>
        <v>-9.982914326942896E-2</v>
      </c>
      <c r="AV151" s="78">
        <f t="shared" si="196"/>
        <v>-4842.7117399999988</v>
      </c>
      <c r="AW151" s="260">
        <f t="shared" si="197"/>
        <v>-9.982914326942896E-2</v>
      </c>
      <c r="AX151" s="62">
        <f>38972+658</f>
        <v>39630</v>
      </c>
      <c r="AY151" s="62">
        <f t="shared" si="171"/>
        <v>-8880</v>
      </c>
      <c r="AZ151" s="241">
        <f t="shared" si="172"/>
        <v>-0.18305504019789734</v>
      </c>
      <c r="BA151" s="616">
        <f>38567.28803+1394.5968</f>
        <v>39961.884830000003</v>
      </c>
      <c r="BB151" s="616">
        <f>37326.16925+1075.11901</f>
        <v>38401.288260000001</v>
      </c>
      <c r="BC151" s="616">
        <f t="shared" si="188"/>
        <v>1560.5965700000015</v>
      </c>
      <c r="BD151" s="31">
        <f t="shared" si="189"/>
        <v>3.9052126210734624E-2</v>
      </c>
      <c r="BE151" s="62">
        <f>33573+9821</f>
        <v>43394</v>
      </c>
      <c r="BF151" s="62">
        <f t="shared" si="173"/>
        <v>3764</v>
      </c>
      <c r="BG151" s="241">
        <f t="shared" si="174"/>
        <v>9.4978551602321479E-2</v>
      </c>
      <c r="BH151" s="78">
        <f>3467+10016</f>
        <v>13483</v>
      </c>
      <c r="BI151" s="78"/>
      <c r="BJ151" s="78"/>
      <c r="BK151" s="78">
        <v>252</v>
      </c>
      <c r="BL151" s="487">
        <f t="shared" si="175"/>
        <v>57129</v>
      </c>
      <c r="BM151" s="487">
        <f t="shared" si="176"/>
        <v>13461.711739999999</v>
      </c>
      <c r="BN151" s="487">
        <f>35866+9794</f>
        <v>45660</v>
      </c>
      <c r="BO151" s="595">
        <f>35866+9794</f>
        <v>45660</v>
      </c>
      <c r="BP151" s="39">
        <f t="shared" si="165"/>
        <v>2266</v>
      </c>
      <c r="BQ151" s="579">
        <f t="shared" si="177"/>
        <v>0.30827908662080034</v>
      </c>
      <c r="BR151" s="99">
        <f t="shared" si="166"/>
        <v>5.2219200811172053E-2</v>
      </c>
      <c r="BS151" s="487">
        <v>5014</v>
      </c>
      <c r="BV151" s="585">
        <v>5</v>
      </c>
      <c r="BW151" s="280">
        <f t="shared" si="178"/>
        <v>50679</v>
      </c>
      <c r="BX151" s="39">
        <f t="shared" si="179"/>
        <v>-6450</v>
      </c>
      <c r="BY151" s="51">
        <f t="shared" si="180"/>
        <v>-0.11290237882686552</v>
      </c>
    </row>
    <row r="152" spans="1:77" s="79" customFormat="1" ht="18" customHeight="1">
      <c r="A152" s="59" t="s">
        <v>23</v>
      </c>
      <c r="B152" s="323">
        <f>13065+108</f>
        <v>13173</v>
      </c>
      <c r="C152" s="323">
        <f>14470+0</f>
        <v>14470</v>
      </c>
      <c r="D152" s="323">
        <f t="shared" si="143"/>
        <v>1297</v>
      </c>
      <c r="E152" s="352">
        <f t="shared" si="144"/>
        <v>9.8458969103469213E-2</v>
      </c>
      <c r="F152" s="582">
        <f>14146</f>
        <v>14146</v>
      </c>
      <c r="G152" s="582">
        <f t="shared" si="145"/>
        <v>-324</v>
      </c>
      <c r="H152" s="274">
        <f t="shared" si="146"/>
        <v>-2.2391154111955771E-2</v>
      </c>
      <c r="I152" s="582">
        <v>14040</v>
      </c>
      <c r="J152" s="582">
        <f t="shared" si="147"/>
        <v>-106</v>
      </c>
      <c r="K152" s="274">
        <f t="shared" si="148"/>
        <v>-7.4932843206560159E-3</v>
      </c>
      <c r="L152" s="62">
        <v>14649</v>
      </c>
      <c r="M152" s="62">
        <v>609</v>
      </c>
      <c r="N152" s="241">
        <v>4.3376068376068375E-2</v>
      </c>
      <c r="O152" s="62">
        <v>13990</v>
      </c>
      <c r="P152" s="62">
        <f t="shared" si="181"/>
        <v>-659</v>
      </c>
      <c r="Q152" s="241">
        <f t="shared" si="190"/>
        <v>-4.4986005870707897E-2</v>
      </c>
      <c r="R152" s="62">
        <v>14681</v>
      </c>
      <c r="S152" s="62">
        <f t="shared" si="167"/>
        <v>691</v>
      </c>
      <c r="T152" s="241">
        <f t="shared" si="191"/>
        <v>4.9392423159399568E-2</v>
      </c>
      <c r="U152" s="62">
        <v>16460</v>
      </c>
      <c r="V152" s="62">
        <f t="shared" si="182"/>
        <v>1779</v>
      </c>
      <c r="W152" s="241">
        <f t="shared" si="183"/>
        <v>0.12117703153736122</v>
      </c>
      <c r="X152" s="166">
        <v>17198</v>
      </c>
      <c r="Y152" s="62">
        <f t="shared" si="192"/>
        <v>738</v>
      </c>
      <c r="Z152" s="95">
        <f t="shared" si="193"/>
        <v>4.4835965978128799E-2</v>
      </c>
      <c r="AA152" s="202">
        <v>17525</v>
      </c>
      <c r="AB152" s="583">
        <f t="shared" si="194"/>
        <v>327</v>
      </c>
      <c r="AC152" s="584">
        <f t="shared" si="195"/>
        <v>1.9013838818467264E-2</v>
      </c>
      <c r="AD152" s="78">
        <v>16218</v>
      </c>
      <c r="AE152" s="78"/>
      <c r="AF152" s="62">
        <v>16638</v>
      </c>
      <c r="AG152" s="62">
        <f t="shared" si="168"/>
        <v>-887</v>
      </c>
      <c r="AH152" s="241">
        <f t="shared" si="169"/>
        <v>-5.0613409415121255E-2</v>
      </c>
      <c r="AI152" s="78">
        <f>AD152+2200</f>
        <v>18418</v>
      </c>
      <c r="AJ152" s="78">
        <f>AF152+2200</f>
        <v>18838</v>
      </c>
      <c r="AK152" s="245">
        <v>16184</v>
      </c>
      <c r="AL152" s="136">
        <v>155</v>
      </c>
      <c r="AM152" s="202">
        <f t="shared" si="170"/>
        <v>16339</v>
      </c>
      <c r="AN152" s="519">
        <v>15758</v>
      </c>
      <c r="AO152" s="519">
        <v>15758</v>
      </c>
      <c r="AP152" s="585">
        <v>349</v>
      </c>
      <c r="AQ152" s="537">
        <v>38</v>
      </c>
      <c r="AR152" s="78">
        <f t="shared" si="184"/>
        <v>387</v>
      </c>
      <c r="AS152" s="65">
        <f t="shared" si="185"/>
        <v>17010.1865</v>
      </c>
      <c r="AT152" s="78">
        <f t="shared" si="186"/>
        <v>372.1864999999998</v>
      </c>
      <c r="AU152" s="260">
        <f t="shared" si="187"/>
        <v>2.2369665825219365E-2</v>
      </c>
      <c r="AV152" s="78">
        <f t="shared" si="196"/>
        <v>372.1864999999998</v>
      </c>
      <c r="AW152" s="260">
        <f t="shared" si="197"/>
        <v>2.2369665825219365E-2</v>
      </c>
      <c r="AX152" s="62">
        <v>16165</v>
      </c>
      <c r="AY152" s="62">
        <f t="shared" si="171"/>
        <v>-473</v>
      </c>
      <c r="AZ152" s="241">
        <f t="shared" si="172"/>
        <v>-2.8428897704050968E-2</v>
      </c>
      <c r="BA152" s="616">
        <v>16678.645189999999</v>
      </c>
      <c r="BB152" s="616">
        <v>16623.1865</v>
      </c>
      <c r="BC152" s="616">
        <f t="shared" si="188"/>
        <v>55.458689999999478</v>
      </c>
      <c r="BD152" s="31">
        <f t="shared" si="189"/>
        <v>3.3251315900197217E-3</v>
      </c>
      <c r="BE152" s="62">
        <v>16068</v>
      </c>
      <c r="BF152" s="62">
        <f t="shared" si="173"/>
        <v>-97</v>
      </c>
      <c r="BG152" s="241">
        <f t="shared" si="174"/>
        <v>-6.0006186204763379E-3</v>
      </c>
      <c r="BH152" s="78">
        <v>347</v>
      </c>
      <c r="BI152" s="78"/>
      <c r="BJ152" s="78"/>
      <c r="BK152" s="78">
        <v>49</v>
      </c>
      <c r="BL152" s="487">
        <f t="shared" si="175"/>
        <v>16464</v>
      </c>
      <c r="BM152" s="487">
        <f t="shared" si="176"/>
        <v>-546.1864999999998</v>
      </c>
      <c r="BN152" s="487">
        <v>16153</v>
      </c>
      <c r="BO152" s="595">
        <v>16620</v>
      </c>
      <c r="BP152" s="39">
        <f t="shared" si="165"/>
        <v>552</v>
      </c>
      <c r="BQ152" s="579">
        <f t="shared" si="177"/>
        <v>-3.2109377519170632E-2</v>
      </c>
      <c r="BR152" s="99">
        <f t="shared" si="166"/>
        <v>3.4353995519044063E-2</v>
      </c>
      <c r="BS152" s="487">
        <v>2058</v>
      </c>
      <c r="BV152" s="585">
        <v>0</v>
      </c>
      <c r="BW152" s="280">
        <f t="shared" si="178"/>
        <v>18211</v>
      </c>
      <c r="BX152" s="39">
        <f t="shared" si="179"/>
        <v>1747</v>
      </c>
      <c r="BY152" s="51">
        <f t="shared" si="180"/>
        <v>0.10611030126336249</v>
      </c>
    </row>
    <row r="153" spans="1:77" ht="18" customHeight="1">
      <c r="A153" s="57" t="s">
        <v>24</v>
      </c>
      <c r="B153" s="322">
        <v>4133</v>
      </c>
      <c r="C153" s="322">
        <v>3838</v>
      </c>
      <c r="D153" s="323">
        <f t="shared" si="143"/>
        <v>-295</v>
      </c>
      <c r="E153" s="352">
        <f t="shared" si="144"/>
        <v>-7.1376723929349142E-2</v>
      </c>
      <c r="F153" s="10">
        <v>9182</v>
      </c>
      <c r="G153" s="10">
        <f t="shared" si="145"/>
        <v>5344</v>
      </c>
      <c r="H153" s="14">
        <f t="shared" si="146"/>
        <v>1.3923918707660239</v>
      </c>
      <c r="I153" s="10">
        <v>8967</v>
      </c>
      <c r="J153" s="10">
        <f t="shared" si="147"/>
        <v>-215</v>
      </c>
      <c r="K153" s="14">
        <f t="shared" si="148"/>
        <v>-2.3415377913308649E-2</v>
      </c>
      <c r="L153" s="52">
        <v>5498</v>
      </c>
      <c r="M153" s="52">
        <v>-3469</v>
      </c>
      <c r="N153" s="58">
        <v>-0.38686294189807069</v>
      </c>
      <c r="O153" s="52">
        <v>5198</v>
      </c>
      <c r="P153" s="52">
        <f t="shared" si="181"/>
        <v>-300</v>
      </c>
      <c r="Q153" s="58">
        <f t="shared" si="190"/>
        <v>-5.4565296471444161E-2</v>
      </c>
      <c r="R153" s="52">
        <v>5056</v>
      </c>
      <c r="S153" s="52">
        <f t="shared" si="167"/>
        <v>-142</v>
      </c>
      <c r="T153" s="58">
        <f t="shared" si="191"/>
        <v>-2.7318199307425933E-2</v>
      </c>
      <c r="U153" s="52">
        <v>5250</v>
      </c>
      <c r="V153" s="52">
        <f t="shared" si="182"/>
        <v>194</v>
      </c>
      <c r="W153" s="58">
        <f t="shared" si="183"/>
        <v>3.8370253164556965E-2</v>
      </c>
      <c r="X153" s="166">
        <v>6459</v>
      </c>
      <c r="Y153" s="52">
        <f t="shared" si="192"/>
        <v>1209</v>
      </c>
      <c r="Z153" s="95">
        <f t="shared" si="193"/>
        <v>0.23028571428571429</v>
      </c>
      <c r="AA153" s="202">
        <v>5500</v>
      </c>
      <c r="AB153" s="172">
        <f t="shared" si="194"/>
        <v>-959</v>
      </c>
      <c r="AC153" s="100">
        <f t="shared" si="195"/>
        <v>-0.1484749961294318</v>
      </c>
      <c r="AD153" s="65">
        <v>11136</v>
      </c>
      <c r="AE153" s="65"/>
      <c r="AF153" s="52">
        <v>17231</v>
      </c>
      <c r="AG153" s="52">
        <f t="shared" si="168"/>
        <v>11731</v>
      </c>
      <c r="AH153" s="58">
        <f t="shared" si="169"/>
        <v>2.1329090909090911</v>
      </c>
      <c r="AI153" s="65">
        <f>AD153+6900</f>
        <v>18036</v>
      </c>
      <c r="AJ153" s="65">
        <f>AF153+6900</f>
        <v>24131</v>
      </c>
      <c r="AK153" s="245">
        <v>11136</v>
      </c>
      <c r="AL153" s="136"/>
      <c r="AM153" s="256">
        <f t="shared" si="170"/>
        <v>11136</v>
      </c>
      <c r="AN153" s="27">
        <v>18512</v>
      </c>
      <c r="AO153" s="27">
        <v>18512</v>
      </c>
      <c r="AQ153" s="65"/>
      <c r="AR153" s="65">
        <f t="shared" si="184"/>
        <v>0</v>
      </c>
      <c r="AS153" s="65">
        <f t="shared" si="185"/>
        <v>16325.28104</v>
      </c>
      <c r="AT153" s="65">
        <f t="shared" si="186"/>
        <v>-905.71896000000015</v>
      </c>
      <c r="AU153" s="99">
        <f t="shared" si="187"/>
        <v>-5.2563342812373057E-2</v>
      </c>
      <c r="AV153" s="65">
        <f t="shared" si="196"/>
        <v>-905.71896000000015</v>
      </c>
      <c r="AW153" s="99">
        <f t="shared" si="197"/>
        <v>-5.2563342812373057E-2</v>
      </c>
      <c r="AX153" s="52">
        <v>18512</v>
      </c>
      <c r="AY153" s="52">
        <f t="shared" si="171"/>
        <v>1281</v>
      </c>
      <c r="AZ153" s="58">
        <f t="shared" si="172"/>
        <v>7.434275433811155E-2</v>
      </c>
      <c r="BA153" s="616">
        <v>18512</v>
      </c>
      <c r="BB153" s="616">
        <v>16325.28104</v>
      </c>
      <c r="BC153" s="616">
        <f t="shared" si="188"/>
        <v>2186.7189600000002</v>
      </c>
      <c r="BD153" s="31">
        <f t="shared" si="189"/>
        <v>0.1181244036300778</v>
      </c>
      <c r="BE153" s="52">
        <v>6512</v>
      </c>
      <c r="BF153" s="52">
        <f t="shared" si="173"/>
        <v>-12000</v>
      </c>
      <c r="BG153" s="58">
        <f t="shared" si="174"/>
        <v>-0.64822817631806395</v>
      </c>
      <c r="BH153" s="65"/>
      <c r="BI153" s="65"/>
      <c r="BJ153" s="65"/>
      <c r="BK153" s="65"/>
      <c r="BL153" s="39">
        <f t="shared" si="175"/>
        <v>6512</v>
      </c>
      <c r="BM153" s="39">
        <f t="shared" si="176"/>
        <v>-9813.2810399999998</v>
      </c>
      <c r="BN153" s="39">
        <v>6512</v>
      </c>
      <c r="BO153" s="534">
        <v>6512</v>
      </c>
      <c r="BP153" s="39">
        <f t="shared" si="165"/>
        <v>0</v>
      </c>
      <c r="BQ153" s="51">
        <f t="shared" si="177"/>
        <v>-0.60110947039475893</v>
      </c>
      <c r="BR153" s="99">
        <f t="shared" si="166"/>
        <v>0</v>
      </c>
      <c r="BW153" s="280">
        <f t="shared" si="178"/>
        <v>6512</v>
      </c>
      <c r="BX153" s="39">
        <f t="shared" si="179"/>
        <v>0</v>
      </c>
      <c r="BY153" s="51">
        <f t="shared" si="180"/>
        <v>0</v>
      </c>
    </row>
    <row r="154" spans="1:77" ht="18" customHeight="1">
      <c r="A154" s="57" t="s">
        <v>25</v>
      </c>
      <c r="B154" s="322">
        <v>28993</v>
      </c>
      <c r="C154" s="322">
        <v>27805</v>
      </c>
      <c r="D154" s="323">
        <f t="shared" si="143"/>
        <v>-1188</v>
      </c>
      <c r="E154" s="352">
        <f t="shared" si="144"/>
        <v>-4.0975407857068949E-2</v>
      </c>
      <c r="F154" s="10">
        <v>27701</v>
      </c>
      <c r="G154" s="10">
        <f t="shared" si="145"/>
        <v>-104</v>
      </c>
      <c r="H154" s="14">
        <f t="shared" si="146"/>
        <v>-3.7403344722172272E-3</v>
      </c>
      <c r="I154" s="10">
        <v>29991</v>
      </c>
      <c r="J154" s="10">
        <f t="shared" si="147"/>
        <v>2290</v>
      </c>
      <c r="K154" s="14">
        <f t="shared" si="148"/>
        <v>8.2668495722176091E-2</v>
      </c>
      <c r="L154" s="52">
        <v>30611</v>
      </c>
      <c r="M154" s="52">
        <v>620</v>
      </c>
      <c r="N154" s="58">
        <v>2.0672868527224834E-2</v>
      </c>
      <c r="O154" s="52">
        <v>29013</v>
      </c>
      <c r="P154" s="52">
        <f t="shared" si="181"/>
        <v>-1598</v>
      </c>
      <c r="Q154" s="58">
        <f t="shared" si="190"/>
        <v>-5.220345627388847E-2</v>
      </c>
      <c r="R154" s="52">
        <v>28751</v>
      </c>
      <c r="S154" s="52">
        <f t="shared" si="167"/>
        <v>-262</v>
      </c>
      <c r="T154" s="58">
        <f t="shared" si="191"/>
        <v>-9.0304346327508365E-3</v>
      </c>
      <c r="U154" s="52">
        <v>24851</v>
      </c>
      <c r="V154" s="52">
        <f t="shared" si="182"/>
        <v>-3900</v>
      </c>
      <c r="W154" s="58">
        <f t="shared" si="183"/>
        <v>-0.13564745574066989</v>
      </c>
      <c r="X154" s="166">
        <v>28220</v>
      </c>
      <c r="Y154" s="52">
        <f t="shared" si="192"/>
        <v>3369</v>
      </c>
      <c r="Z154" s="95">
        <f t="shared" si="193"/>
        <v>0.13556798519174279</v>
      </c>
      <c r="AA154" s="202">
        <v>15030</v>
      </c>
      <c r="AB154" s="172">
        <f t="shared" si="194"/>
        <v>-13190</v>
      </c>
      <c r="AC154" s="100">
        <f t="shared" si="195"/>
        <v>-0.46739900779588944</v>
      </c>
      <c r="AD154" s="65">
        <v>25163</v>
      </c>
      <c r="AE154" s="65"/>
      <c r="AF154" s="52">
        <v>38310</v>
      </c>
      <c r="AG154" s="52">
        <f t="shared" si="168"/>
        <v>23280</v>
      </c>
      <c r="AH154" s="58">
        <f t="shared" si="169"/>
        <v>1.5489021956087825</v>
      </c>
      <c r="AI154" s="65">
        <f>AD154+3200</f>
        <v>28363</v>
      </c>
      <c r="AJ154" s="65">
        <f>AF154+3200</f>
        <v>41510</v>
      </c>
      <c r="AK154" s="245">
        <v>30163</v>
      </c>
      <c r="AL154" s="136"/>
      <c r="AM154" s="256">
        <f t="shared" si="170"/>
        <v>30163</v>
      </c>
      <c r="AN154" s="27">
        <v>28169</v>
      </c>
      <c r="AO154" s="27">
        <v>28169</v>
      </c>
      <c r="AQ154" s="65">
        <v>18</v>
      </c>
      <c r="AR154" s="65">
        <f t="shared" si="184"/>
        <v>18</v>
      </c>
      <c r="AS154" s="65">
        <f t="shared" si="185"/>
        <v>29318.698120000001</v>
      </c>
      <c r="AT154" s="65">
        <f t="shared" si="186"/>
        <v>-8991.3018799999991</v>
      </c>
      <c r="AU154" s="99">
        <f t="shared" si="187"/>
        <v>-0.234698561211172</v>
      </c>
      <c r="AV154" s="65">
        <f t="shared" si="196"/>
        <v>-8991.3018799999991</v>
      </c>
      <c r="AW154" s="99">
        <f t="shared" si="197"/>
        <v>-0.234698561211172</v>
      </c>
      <c r="AX154" s="52">
        <v>38169</v>
      </c>
      <c r="AY154" s="52">
        <f t="shared" si="171"/>
        <v>-141</v>
      </c>
      <c r="AZ154" s="58">
        <f t="shared" si="172"/>
        <v>-3.6805011746280343E-3</v>
      </c>
      <c r="BA154" s="616">
        <v>29300.698120000001</v>
      </c>
      <c r="BB154" s="616">
        <v>29300.698120000001</v>
      </c>
      <c r="BC154" s="616">
        <f t="shared" si="188"/>
        <v>0</v>
      </c>
      <c r="BD154" s="31">
        <f t="shared" si="189"/>
        <v>0</v>
      </c>
      <c r="BE154" s="52">
        <v>19658</v>
      </c>
      <c r="BF154" s="52">
        <f t="shared" si="173"/>
        <v>-18511</v>
      </c>
      <c r="BG154" s="58">
        <f t="shared" si="174"/>
        <v>-0.48497471770284784</v>
      </c>
      <c r="BH154" s="65"/>
      <c r="BI154" s="65"/>
      <c r="BJ154" s="65"/>
      <c r="BK154" s="65"/>
      <c r="BL154" s="39">
        <f t="shared" si="175"/>
        <v>19658</v>
      </c>
      <c r="BM154" s="39">
        <f t="shared" si="176"/>
        <v>-9660.6981200000009</v>
      </c>
      <c r="BN154" s="39">
        <v>19822</v>
      </c>
      <c r="BO154" s="534">
        <v>19822</v>
      </c>
      <c r="BP154" s="39">
        <f t="shared" si="165"/>
        <v>164</v>
      </c>
      <c r="BQ154" s="51">
        <f t="shared" si="177"/>
        <v>-0.32950638123354709</v>
      </c>
      <c r="BR154" s="99">
        <f t="shared" si="166"/>
        <v>8.3426594770576873E-3</v>
      </c>
      <c r="BW154" s="280">
        <f t="shared" si="178"/>
        <v>19822</v>
      </c>
      <c r="BX154" s="39">
        <f t="shared" si="179"/>
        <v>164</v>
      </c>
      <c r="BY154" s="51">
        <f t="shared" si="180"/>
        <v>8.3426594770576873E-3</v>
      </c>
    </row>
    <row r="155" spans="1:77" s="79" customFormat="1" ht="18" customHeight="1">
      <c r="A155" s="59" t="s">
        <v>26</v>
      </c>
      <c r="B155" s="323">
        <v>734</v>
      </c>
      <c r="C155" s="323">
        <v>1153</v>
      </c>
      <c r="D155" s="323">
        <f t="shared" si="143"/>
        <v>419</v>
      </c>
      <c r="E155" s="352">
        <f t="shared" si="144"/>
        <v>0.57084468664850141</v>
      </c>
      <c r="F155" s="582">
        <v>1535</v>
      </c>
      <c r="G155" s="582">
        <f t="shared" si="145"/>
        <v>382</v>
      </c>
      <c r="H155" s="274">
        <f t="shared" si="146"/>
        <v>0.3313096270598439</v>
      </c>
      <c r="I155" s="582">
        <v>1592</v>
      </c>
      <c r="J155" s="582">
        <f t="shared" si="147"/>
        <v>57</v>
      </c>
      <c r="K155" s="274">
        <f t="shared" si="148"/>
        <v>3.713355048859935E-2</v>
      </c>
      <c r="L155" s="62">
        <v>1706</v>
      </c>
      <c r="M155" s="62">
        <v>114</v>
      </c>
      <c r="N155" s="241">
        <v>7.160804020100503E-2</v>
      </c>
      <c r="O155" s="62">
        <v>2215</v>
      </c>
      <c r="P155" s="62">
        <f t="shared" si="181"/>
        <v>509</v>
      </c>
      <c r="Q155" s="241">
        <f t="shared" si="190"/>
        <v>0.29835873388042206</v>
      </c>
      <c r="R155" s="62">
        <v>2322</v>
      </c>
      <c r="S155" s="62">
        <f t="shared" si="167"/>
        <v>107</v>
      </c>
      <c r="T155" s="241">
        <f t="shared" si="191"/>
        <v>4.8306997742663657E-2</v>
      </c>
      <c r="U155" s="62">
        <v>2359</v>
      </c>
      <c r="V155" s="62">
        <f t="shared" si="182"/>
        <v>37</v>
      </c>
      <c r="W155" s="241">
        <f t="shared" si="183"/>
        <v>1.5934539190353144E-2</v>
      </c>
      <c r="X155" s="166">
        <v>2605</v>
      </c>
      <c r="Y155" s="62">
        <f t="shared" si="192"/>
        <v>246</v>
      </c>
      <c r="Z155" s="95">
        <f t="shared" si="193"/>
        <v>0.10428147520135651</v>
      </c>
      <c r="AA155" s="202">
        <v>2757</v>
      </c>
      <c r="AB155" s="583">
        <f t="shared" si="194"/>
        <v>152</v>
      </c>
      <c r="AC155" s="584">
        <f t="shared" si="195"/>
        <v>5.8349328214971206E-2</v>
      </c>
      <c r="AD155" s="78">
        <v>2617</v>
      </c>
      <c r="AE155" s="78"/>
      <c r="AF155" s="62">
        <v>2222</v>
      </c>
      <c r="AG155" s="62">
        <f t="shared" si="168"/>
        <v>-535</v>
      </c>
      <c r="AH155" s="241">
        <f t="shared" si="169"/>
        <v>-0.19405150525933987</v>
      </c>
      <c r="AI155" s="78">
        <f>AD155-312</f>
        <v>2305</v>
      </c>
      <c r="AJ155" s="78">
        <f>AF155-312</f>
        <v>1910</v>
      </c>
      <c r="AK155" s="245">
        <v>2673</v>
      </c>
      <c r="AL155" s="136">
        <v>5</v>
      </c>
      <c r="AM155" s="202">
        <f t="shared" si="170"/>
        <v>2678</v>
      </c>
      <c r="AN155" s="519">
        <v>2200</v>
      </c>
      <c r="AO155" s="519">
        <v>2200</v>
      </c>
      <c r="AP155" s="79">
        <v>103</v>
      </c>
      <c r="AQ155" s="78">
        <v>46</v>
      </c>
      <c r="AR155" s="78">
        <f t="shared" si="184"/>
        <v>149</v>
      </c>
      <c r="AS155" s="65">
        <f t="shared" si="185"/>
        <v>2299.1309999999999</v>
      </c>
      <c r="AT155" s="78">
        <f t="shared" si="186"/>
        <v>77.130999999999858</v>
      </c>
      <c r="AU155" s="260">
        <f t="shared" si="187"/>
        <v>3.4712421242124147E-2</v>
      </c>
      <c r="AV155" s="78">
        <f t="shared" si="196"/>
        <v>77.130999999999858</v>
      </c>
      <c r="AW155" s="260">
        <f t="shared" si="197"/>
        <v>3.4712421242124147E-2</v>
      </c>
      <c r="AX155" s="62">
        <v>2166</v>
      </c>
      <c r="AY155" s="62">
        <f t="shared" si="171"/>
        <v>-56</v>
      </c>
      <c r="AZ155" s="241">
        <f t="shared" si="172"/>
        <v>-2.5202520252025202E-2</v>
      </c>
      <c r="BA155" s="616">
        <v>2166.41345</v>
      </c>
      <c r="BB155" s="616">
        <v>2150.1309999999999</v>
      </c>
      <c r="BC155" s="616">
        <f t="shared" si="188"/>
        <v>16.282450000000154</v>
      </c>
      <c r="BD155" s="31">
        <f t="shared" si="189"/>
        <v>7.515855295303929E-3</v>
      </c>
      <c r="BE155" s="62">
        <v>2148</v>
      </c>
      <c r="BF155" s="62">
        <f t="shared" si="173"/>
        <v>-18</v>
      </c>
      <c r="BG155" s="241">
        <f t="shared" si="174"/>
        <v>-8.3102493074792248E-3</v>
      </c>
      <c r="BH155" s="78">
        <v>80</v>
      </c>
      <c r="BI155" s="78"/>
      <c r="BJ155" s="78"/>
      <c r="BK155" s="78">
        <v>18</v>
      </c>
      <c r="BL155" s="487">
        <f t="shared" si="175"/>
        <v>2246</v>
      </c>
      <c r="BM155" s="487">
        <f t="shared" si="176"/>
        <v>-53.130999999999858</v>
      </c>
      <c r="BN155" s="487">
        <v>2193</v>
      </c>
      <c r="BO155" s="595">
        <v>2193</v>
      </c>
      <c r="BP155" s="39">
        <f t="shared" si="165"/>
        <v>45</v>
      </c>
      <c r="BQ155" s="579">
        <f t="shared" si="177"/>
        <v>-2.3109166028381967E-2</v>
      </c>
      <c r="BR155" s="99">
        <f t="shared" si="166"/>
        <v>2.094972067039106E-2</v>
      </c>
      <c r="BS155" s="487">
        <v>99</v>
      </c>
      <c r="BV155" s="585">
        <v>1</v>
      </c>
      <c r="BW155" s="280">
        <f t="shared" si="178"/>
        <v>2293</v>
      </c>
      <c r="BX155" s="39">
        <f t="shared" si="179"/>
        <v>47</v>
      </c>
      <c r="BY155" s="51">
        <f t="shared" si="180"/>
        <v>2.0926090828138913E-2</v>
      </c>
    </row>
    <row r="156" spans="1:77" s="79" customFormat="1" ht="18" customHeight="1">
      <c r="A156" s="59" t="s">
        <v>27</v>
      </c>
      <c r="B156" s="323">
        <v>889</v>
      </c>
      <c r="C156" s="323">
        <v>2307</v>
      </c>
      <c r="D156" s="323">
        <f t="shared" si="143"/>
        <v>1418</v>
      </c>
      <c r="E156" s="352">
        <f t="shared" si="144"/>
        <v>1.5950506186726658</v>
      </c>
      <c r="F156" s="582">
        <v>2808</v>
      </c>
      <c r="G156" s="582">
        <f t="shared" si="145"/>
        <v>501</v>
      </c>
      <c r="H156" s="274">
        <f t="shared" si="146"/>
        <v>0.21716514954486346</v>
      </c>
      <c r="I156" s="582">
        <v>2962</v>
      </c>
      <c r="J156" s="582">
        <f t="shared" si="147"/>
        <v>154</v>
      </c>
      <c r="K156" s="274">
        <f t="shared" si="148"/>
        <v>5.4843304843304845E-2</v>
      </c>
      <c r="L156" s="62">
        <v>3040</v>
      </c>
      <c r="M156" s="62">
        <v>78</v>
      </c>
      <c r="N156" s="241">
        <v>2.6333558406482108E-2</v>
      </c>
      <c r="O156" s="62">
        <v>3874</v>
      </c>
      <c r="P156" s="62">
        <f t="shared" si="181"/>
        <v>834</v>
      </c>
      <c r="Q156" s="241">
        <f t="shared" si="190"/>
        <v>0.27434210526315789</v>
      </c>
      <c r="R156" s="62">
        <v>3652</v>
      </c>
      <c r="S156" s="62">
        <f t="shared" si="167"/>
        <v>-222</v>
      </c>
      <c r="T156" s="241">
        <f t="shared" si="191"/>
        <v>-5.7305110996386167E-2</v>
      </c>
      <c r="U156" s="62">
        <v>4130</v>
      </c>
      <c r="V156" s="62">
        <f t="shared" si="182"/>
        <v>478</v>
      </c>
      <c r="W156" s="241">
        <f t="shared" si="183"/>
        <v>0.13088718510405256</v>
      </c>
      <c r="X156" s="166">
        <v>4120</v>
      </c>
      <c r="Y156" s="62">
        <f t="shared" si="192"/>
        <v>-10</v>
      </c>
      <c r="Z156" s="95">
        <f t="shared" si="193"/>
        <v>-2.4213075060532689E-3</v>
      </c>
      <c r="AA156" s="202">
        <v>4587</v>
      </c>
      <c r="AB156" s="583">
        <f t="shared" si="194"/>
        <v>467</v>
      </c>
      <c r="AC156" s="584">
        <f t="shared" si="195"/>
        <v>0.1133495145631068</v>
      </c>
      <c r="AD156" s="78">
        <v>3821</v>
      </c>
      <c r="AE156" s="78"/>
      <c r="AF156" s="62">
        <v>3712</v>
      </c>
      <c r="AG156" s="62">
        <f t="shared" si="168"/>
        <v>-875</v>
      </c>
      <c r="AH156" s="241">
        <f t="shared" si="169"/>
        <v>-0.19075648572051448</v>
      </c>
      <c r="AI156" s="78">
        <f>AD156-45</f>
        <v>3776</v>
      </c>
      <c r="AJ156" s="78">
        <f>AF156-45</f>
        <v>3667</v>
      </c>
      <c r="AK156" s="245">
        <v>3867</v>
      </c>
      <c r="AL156" s="136"/>
      <c r="AM156" s="202">
        <f t="shared" si="170"/>
        <v>3867</v>
      </c>
      <c r="AN156" s="519">
        <v>2100</v>
      </c>
      <c r="AO156" s="519">
        <v>2100</v>
      </c>
      <c r="AP156" s="585">
        <v>78</v>
      </c>
      <c r="AQ156" s="78">
        <v>5</v>
      </c>
      <c r="AR156" s="78">
        <f t="shared" si="184"/>
        <v>83</v>
      </c>
      <c r="AS156" s="65">
        <f t="shared" si="185"/>
        <v>2614.3733400000001</v>
      </c>
      <c r="AT156" s="78">
        <f t="shared" si="186"/>
        <v>-1097.6266599999999</v>
      </c>
      <c r="AU156" s="260">
        <f t="shared" si="187"/>
        <v>-0.29569683728448271</v>
      </c>
      <c r="AV156" s="78">
        <f t="shared" si="196"/>
        <v>-1097.6266599999999</v>
      </c>
      <c r="AW156" s="260">
        <f t="shared" si="197"/>
        <v>-0.29569683728448271</v>
      </c>
      <c r="AX156" s="62">
        <v>2664</v>
      </c>
      <c r="AY156" s="62">
        <f t="shared" si="171"/>
        <v>-1048</v>
      </c>
      <c r="AZ156" s="241">
        <f t="shared" si="172"/>
        <v>-0.28232758620689657</v>
      </c>
      <c r="BA156" s="616">
        <v>2603.8374399999998</v>
      </c>
      <c r="BB156" s="616">
        <v>2531.3733400000001</v>
      </c>
      <c r="BC156" s="616">
        <f t="shared" si="188"/>
        <v>72.464099999999689</v>
      </c>
      <c r="BD156" s="31">
        <f t="shared" si="189"/>
        <v>2.7829732719412657E-2</v>
      </c>
      <c r="BE156" s="62">
        <v>2666</v>
      </c>
      <c r="BF156" s="62">
        <f t="shared" si="173"/>
        <v>2</v>
      </c>
      <c r="BG156" s="241">
        <f t="shared" si="174"/>
        <v>7.5075075075075074E-4</v>
      </c>
      <c r="BH156" s="78">
        <v>73</v>
      </c>
      <c r="BI156" s="78"/>
      <c r="BJ156" s="78"/>
      <c r="BK156" s="78">
        <v>7</v>
      </c>
      <c r="BL156" s="487">
        <f t="shared" si="175"/>
        <v>2746</v>
      </c>
      <c r="BM156" s="487">
        <f t="shared" si="176"/>
        <v>131.6266599999999</v>
      </c>
      <c r="BN156" s="487">
        <v>2685</v>
      </c>
      <c r="BO156" s="595">
        <v>2685</v>
      </c>
      <c r="BP156" s="39">
        <f t="shared" si="165"/>
        <v>19</v>
      </c>
      <c r="BQ156" s="579">
        <f t="shared" si="177"/>
        <v>5.0347308085692113E-2</v>
      </c>
      <c r="BR156" s="99">
        <f t="shared" si="166"/>
        <v>7.1267816954238561E-3</v>
      </c>
      <c r="BS156" s="487">
        <v>74</v>
      </c>
      <c r="BV156" s="585">
        <v>0</v>
      </c>
      <c r="BW156" s="280">
        <f t="shared" si="178"/>
        <v>2759</v>
      </c>
      <c r="BX156" s="39">
        <f t="shared" si="179"/>
        <v>13</v>
      </c>
      <c r="BY156" s="51">
        <f t="shared" si="180"/>
        <v>4.7341587764020395E-3</v>
      </c>
    </row>
    <row r="157" spans="1:77" ht="18" customHeight="1">
      <c r="A157" s="59" t="s">
        <v>190</v>
      </c>
      <c r="B157" s="323">
        <v>304</v>
      </c>
      <c r="C157" s="323">
        <v>389</v>
      </c>
      <c r="D157" s="323">
        <f t="shared" si="143"/>
        <v>85</v>
      </c>
      <c r="E157" s="352">
        <f t="shared" si="144"/>
        <v>0.27960526315789475</v>
      </c>
      <c r="F157" s="10">
        <f>197+2510</f>
        <v>2707</v>
      </c>
      <c r="G157" s="10">
        <f t="shared" si="145"/>
        <v>2318</v>
      </c>
      <c r="H157" s="14">
        <f t="shared" si="146"/>
        <v>5.958868894601542</v>
      </c>
      <c r="I157" s="10">
        <f>416+2452</f>
        <v>2868</v>
      </c>
      <c r="J157" s="10">
        <f t="shared" si="147"/>
        <v>161</v>
      </c>
      <c r="K157" s="14">
        <f t="shared" si="148"/>
        <v>5.9475434059844845E-2</v>
      </c>
      <c r="L157" s="52">
        <v>1977</v>
      </c>
      <c r="M157" s="52">
        <v>-891</v>
      </c>
      <c r="N157" s="58">
        <v>-0.31066945606694563</v>
      </c>
      <c r="O157" s="52">
        <v>4306</v>
      </c>
      <c r="P157" s="52">
        <f t="shared" si="181"/>
        <v>2329</v>
      </c>
      <c r="Q157" s="58">
        <f t="shared" si="190"/>
        <v>1.1780475467880627</v>
      </c>
      <c r="R157" s="52">
        <v>3004</v>
      </c>
      <c r="S157" s="52">
        <f t="shared" si="167"/>
        <v>-1302</v>
      </c>
      <c r="T157" s="58">
        <f t="shared" si="191"/>
        <v>-0.30236878773803993</v>
      </c>
      <c r="U157" s="52">
        <v>-2</v>
      </c>
      <c r="V157" s="52">
        <f t="shared" si="182"/>
        <v>-3006</v>
      </c>
      <c r="W157" s="58">
        <f t="shared" si="183"/>
        <v>-1.0006657789613849</v>
      </c>
      <c r="X157" s="166">
        <v>-34</v>
      </c>
      <c r="Y157" s="52">
        <f t="shared" si="192"/>
        <v>-32</v>
      </c>
      <c r="Z157" s="95">
        <f t="shared" si="193"/>
        <v>16</v>
      </c>
      <c r="AB157" s="172">
        <f t="shared" si="194"/>
        <v>34</v>
      </c>
      <c r="AC157" s="100">
        <f t="shared" si="195"/>
        <v>-1</v>
      </c>
      <c r="AG157" s="52">
        <f t="shared" si="168"/>
        <v>0</v>
      </c>
      <c r="AH157" s="58" t="e">
        <f t="shared" si="169"/>
        <v>#DIV/0!</v>
      </c>
      <c r="AK157" s="220"/>
      <c r="AL157" s="136"/>
      <c r="AM157" s="256">
        <f t="shared" si="170"/>
        <v>0</v>
      </c>
      <c r="AN157" s="219">
        <v>0</v>
      </c>
      <c r="AO157" s="219">
        <v>0</v>
      </c>
      <c r="AQ157" s="65"/>
      <c r="AR157" s="65">
        <f t="shared" si="184"/>
        <v>0</v>
      </c>
      <c r="AS157" s="65">
        <f t="shared" si="185"/>
        <v>0</v>
      </c>
      <c r="AT157" s="65">
        <f t="shared" si="186"/>
        <v>0</v>
      </c>
      <c r="AU157" s="99" t="e">
        <f t="shared" si="187"/>
        <v>#DIV/0!</v>
      </c>
      <c r="AV157" s="65"/>
      <c r="AW157" s="99"/>
      <c r="AY157" s="52">
        <f t="shared" si="171"/>
        <v>0</v>
      </c>
      <c r="AZ157" s="58" t="e">
        <f t="shared" si="172"/>
        <v>#DIV/0!</v>
      </c>
      <c r="BC157" s="616">
        <f t="shared" si="188"/>
        <v>0</v>
      </c>
      <c r="BD157" s="31"/>
      <c r="BF157" s="52">
        <f t="shared" si="173"/>
        <v>0</v>
      </c>
      <c r="BG157" s="58" t="e">
        <f t="shared" si="174"/>
        <v>#DIV/0!</v>
      </c>
      <c r="BH157" s="65"/>
      <c r="BI157" s="65"/>
      <c r="BJ157" s="65"/>
      <c r="BK157" s="65"/>
      <c r="BL157" s="39">
        <f t="shared" si="175"/>
        <v>0</v>
      </c>
      <c r="BM157" s="39">
        <f t="shared" si="176"/>
        <v>0</v>
      </c>
      <c r="BN157" s="39"/>
      <c r="BO157" s="534"/>
      <c r="BP157" s="39">
        <f t="shared" si="165"/>
        <v>0</v>
      </c>
      <c r="BQ157" s="51" t="e">
        <f t="shared" si="177"/>
        <v>#DIV/0!</v>
      </c>
      <c r="BR157" s="99" t="e">
        <f t="shared" si="166"/>
        <v>#DIV/0!</v>
      </c>
      <c r="BW157" s="280">
        <f>BN158+BS157+BT157+BU157+BV157</f>
        <v>3000</v>
      </c>
      <c r="BX157" s="39">
        <f t="shared" si="179"/>
        <v>3000</v>
      </c>
      <c r="BY157" s="51" t="e">
        <f t="shared" si="180"/>
        <v>#DIV/0!</v>
      </c>
    </row>
    <row r="158" spans="1:77" ht="18" customHeight="1">
      <c r="A158" s="57" t="s">
        <v>74</v>
      </c>
      <c r="B158" s="322"/>
      <c r="C158" s="322">
        <v>5000</v>
      </c>
      <c r="D158" s="323">
        <f>C158-B158</f>
        <v>5000</v>
      </c>
      <c r="E158" s="325" t="s">
        <v>78</v>
      </c>
      <c r="F158" s="10">
        <v>5831</v>
      </c>
      <c r="G158" s="10">
        <f t="shared" si="145"/>
        <v>831</v>
      </c>
      <c r="H158" s="14">
        <f t="shared" si="146"/>
        <v>0.16619999999999999</v>
      </c>
      <c r="I158" s="10">
        <v>2868</v>
      </c>
      <c r="J158" s="10">
        <f t="shared" si="147"/>
        <v>-2963</v>
      </c>
      <c r="K158" s="14">
        <f t="shared" si="148"/>
        <v>-0.50814611558909273</v>
      </c>
      <c r="L158" s="52">
        <v>4868</v>
      </c>
      <c r="M158" s="52">
        <v>2000</v>
      </c>
      <c r="N158" s="58">
        <v>0.69735006973500702</v>
      </c>
      <c r="O158" s="52">
        <v>5068</v>
      </c>
      <c r="P158" s="52">
        <f t="shared" si="181"/>
        <v>200</v>
      </c>
      <c r="Q158" s="58">
        <f t="shared" si="190"/>
        <v>4.1084634346754315E-2</v>
      </c>
      <c r="R158" s="52">
        <v>9249</v>
      </c>
      <c r="S158" s="52">
        <f t="shared" si="167"/>
        <v>4181</v>
      </c>
      <c r="T158" s="58">
        <f t="shared" si="191"/>
        <v>0.82498026835043414</v>
      </c>
      <c r="U158" s="52">
        <v>13092</v>
      </c>
      <c r="V158" s="52">
        <f t="shared" si="182"/>
        <v>3843</v>
      </c>
      <c r="W158" s="58">
        <f t="shared" si="183"/>
        <v>0.41550437885176777</v>
      </c>
      <c r="X158" s="166">
        <v>20811</v>
      </c>
      <c r="Y158" s="52">
        <f t="shared" si="192"/>
        <v>7719</v>
      </c>
      <c r="Z158" s="95">
        <f t="shared" si="193"/>
        <v>0.58959670027497713</v>
      </c>
      <c r="AA158" s="202">
        <v>18460</v>
      </c>
      <c r="AB158" s="172">
        <f t="shared" si="194"/>
        <v>-2351</v>
      </c>
      <c r="AC158" s="100">
        <f t="shared" si="195"/>
        <v>-0.11296910287828552</v>
      </c>
      <c r="AD158" s="65">
        <v>10602</v>
      </c>
      <c r="AE158" s="65"/>
      <c r="AF158" s="52">
        <v>10602</v>
      </c>
      <c r="AG158" s="52">
        <f t="shared" si="168"/>
        <v>-7858</v>
      </c>
      <c r="AH158" s="58">
        <f t="shared" si="169"/>
        <v>-0.42567713976164678</v>
      </c>
      <c r="AI158" s="50">
        <v>10602</v>
      </c>
      <c r="AJ158" s="50">
        <v>10602</v>
      </c>
      <c r="AK158" s="220"/>
      <c r="AL158" s="136">
        <v>10602</v>
      </c>
      <c r="AM158" s="256">
        <f t="shared" si="170"/>
        <v>10602</v>
      </c>
      <c r="AN158" s="27">
        <v>7200</v>
      </c>
      <c r="AO158" s="27">
        <v>7200</v>
      </c>
      <c r="AQ158" s="219"/>
      <c r="AR158" s="65">
        <f t="shared" si="184"/>
        <v>0</v>
      </c>
      <c r="AS158" s="65">
        <f t="shared" si="185"/>
        <v>5120</v>
      </c>
      <c r="AT158" s="65">
        <f t="shared" si="186"/>
        <v>-5482</v>
      </c>
      <c r="AU158" s="99">
        <f t="shared" si="187"/>
        <v>-0.51707225051877004</v>
      </c>
      <c r="AV158" s="65">
        <f t="shared" ref="AV158:AV163" si="198">AS158-AF158</f>
        <v>-5482</v>
      </c>
      <c r="AW158" s="99">
        <f t="shared" ref="AW158:AW163" si="199">AV158/AF158</f>
        <v>-0.51707225051877004</v>
      </c>
      <c r="AX158" s="52">
        <v>4625</v>
      </c>
      <c r="AY158" s="52">
        <f t="shared" si="171"/>
        <v>-5977</v>
      </c>
      <c r="AZ158" s="58">
        <f t="shared" si="172"/>
        <v>-0.56376155442369369</v>
      </c>
      <c r="BA158" s="617">
        <v>5120</v>
      </c>
      <c r="BB158" s="617">
        <v>5120</v>
      </c>
      <c r="BC158" s="616">
        <f t="shared" si="188"/>
        <v>0</v>
      </c>
      <c r="BD158" s="31">
        <f t="shared" si="189"/>
        <v>0</v>
      </c>
      <c r="BE158" s="52">
        <v>3000</v>
      </c>
      <c r="BF158" s="52">
        <f t="shared" si="173"/>
        <v>-1625</v>
      </c>
      <c r="BG158" s="58">
        <f t="shared" si="174"/>
        <v>-0.35135135135135137</v>
      </c>
      <c r="BH158" s="65"/>
      <c r="BI158" s="65"/>
      <c r="BJ158" s="65"/>
      <c r="BK158" s="65"/>
      <c r="BL158" s="39">
        <f t="shared" si="175"/>
        <v>3000</v>
      </c>
      <c r="BM158" s="39">
        <f t="shared" si="176"/>
        <v>-2120</v>
      </c>
      <c r="BN158" s="39">
        <v>3000</v>
      </c>
      <c r="BO158" s="534">
        <v>3000</v>
      </c>
      <c r="BP158" s="39">
        <f t="shared" si="165"/>
        <v>0</v>
      </c>
      <c r="BQ158" s="51">
        <f t="shared" si="177"/>
        <v>-0.4140625</v>
      </c>
      <c r="BR158" s="99">
        <f t="shared" si="166"/>
        <v>0</v>
      </c>
      <c r="BW158" s="297">
        <v>3000</v>
      </c>
      <c r="BX158" s="39">
        <f t="shared" si="179"/>
        <v>0</v>
      </c>
      <c r="BY158" s="51">
        <f t="shared" si="180"/>
        <v>0</v>
      </c>
    </row>
    <row r="159" spans="1:77" s="79" customFormat="1" ht="18" customHeight="1">
      <c r="A159" s="59" t="s">
        <v>28</v>
      </c>
      <c r="B159" s="323">
        <v>0</v>
      </c>
      <c r="C159" s="323">
        <v>0</v>
      </c>
      <c r="D159" s="323">
        <f t="shared" si="143"/>
        <v>0</v>
      </c>
      <c r="E159" s="593" t="s">
        <v>78</v>
      </c>
      <c r="F159" s="582">
        <v>198</v>
      </c>
      <c r="G159" s="582">
        <f t="shared" si="145"/>
        <v>198</v>
      </c>
      <c r="H159" s="340" t="s">
        <v>78</v>
      </c>
      <c r="I159" s="582">
        <v>203</v>
      </c>
      <c r="J159" s="582">
        <f t="shared" si="147"/>
        <v>5</v>
      </c>
      <c r="K159" s="274">
        <f t="shared" si="148"/>
        <v>2.5252525252525252E-2</v>
      </c>
      <c r="L159" s="62">
        <v>319</v>
      </c>
      <c r="M159" s="62">
        <v>116</v>
      </c>
      <c r="N159" s="241">
        <v>0.5714285714285714</v>
      </c>
      <c r="O159" s="62">
        <v>351</v>
      </c>
      <c r="P159" s="62">
        <f t="shared" si="181"/>
        <v>32</v>
      </c>
      <c r="Q159" s="241">
        <f t="shared" si="190"/>
        <v>0.10031347962382445</v>
      </c>
      <c r="R159" s="62">
        <v>606</v>
      </c>
      <c r="S159" s="62">
        <f t="shared" si="167"/>
        <v>255</v>
      </c>
      <c r="T159" s="241">
        <f t="shared" si="191"/>
        <v>0.72649572649572647</v>
      </c>
      <c r="U159" s="62">
        <v>814</v>
      </c>
      <c r="V159" s="62">
        <f t="shared" si="182"/>
        <v>208</v>
      </c>
      <c r="W159" s="241">
        <f t="shared" si="183"/>
        <v>0.34323432343234322</v>
      </c>
      <c r="X159" s="166">
        <v>930</v>
      </c>
      <c r="Y159" s="62">
        <f t="shared" si="192"/>
        <v>116</v>
      </c>
      <c r="Z159" s="95">
        <f t="shared" si="193"/>
        <v>0.14250614250614252</v>
      </c>
      <c r="AA159" s="202">
        <v>965</v>
      </c>
      <c r="AB159" s="583">
        <f t="shared" si="194"/>
        <v>35</v>
      </c>
      <c r="AC159" s="584">
        <f t="shared" si="195"/>
        <v>3.7634408602150539E-2</v>
      </c>
      <c r="AD159" s="78">
        <v>965</v>
      </c>
      <c r="AE159" s="78"/>
      <c r="AF159" s="62">
        <v>869</v>
      </c>
      <c r="AG159" s="62">
        <f t="shared" si="168"/>
        <v>-96</v>
      </c>
      <c r="AH159" s="241">
        <f t="shared" si="169"/>
        <v>-9.9481865284974089E-2</v>
      </c>
      <c r="AI159" s="79">
        <v>965</v>
      </c>
      <c r="AJ159" s="79">
        <v>965</v>
      </c>
      <c r="AK159" s="585">
        <v>993</v>
      </c>
      <c r="AL159" s="136"/>
      <c r="AM159" s="202">
        <f t="shared" si="170"/>
        <v>993</v>
      </c>
      <c r="AN159" s="5">
        <v>815</v>
      </c>
      <c r="AO159" s="5">
        <v>815</v>
      </c>
      <c r="AP159" s="79">
        <v>36</v>
      </c>
      <c r="AQ159" s="78">
        <v>12</v>
      </c>
      <c r="AR159" s="78">
        <f t="shared" si="184"/>
        <v>48</v>
      </c>
      <c r="AS159" s="65">
        <f t="shared" si="185"/>
        <v>829.48931000000005</v>
      </c>
      <c r="AT159" s="78">
        <f t="shared" si="186"/>
        <v>-39.510689999999954</v>
      </c>
      <c r="AU159" s="260">
        <f t="shared" si="187"/>
        <v>-4.5466846950517781E-2</v>
      </c>
      <c r="AV159" s="78">
        <f t="shared" si="198"/>
        <v>-39.510689999999954</v>
      </c>
      <c r="AW159" s="260">
        <f t="shared" si="199"/>
        <v>-4.5466846950517781E-2</v>
      </c>
      <c r="AX159" s="62">
        <v>776</v>
      </c>
      <c r="AY159" s="62">
        <f t="shared" si="171"/>
        <v>-93</v>
      </c>
      <c r="AZ159" s="241">
        <f t="shared" si="172"/>
        <v>-0.10701956271576525</v>
      </c>
      <c r="BA159" s="616">
        <v>784.70020999999997</v>
      </c>
      <c r="BB159" s="616">
        <v>781.48931000000005</v>
      </c>
      <c r="BC159" s="616">
        <f t="shared" si="188"/>
        <v>3.2108999999999241</v>
      </c>
      <c r="BD159" s="31">
        <f t="shared" si="189"/>
        <v>4.0918811529309061E-3</v>
      </c>
      <c r="BE159" s="62">
        <v>768</v>
      </c>
      <c r="BF159" s="62">
        <f t="shared" si="173"/>
        <v>-8</v>
      </c>
      <c r="BG159" s="241">
        <f t="shared" si="174"/>
        <v>-1.0309278350515464E-2</v>
      </c>
      <c r="BH159" s="78">
        <v>28</v>
      </c>
      <c r="BI159" s="78"/>
      <c r="BJ159" s="78"/>
      <c r="BK159" s="78">
        <v>8</v>
      </c>
      <c r="BL159" s="487">
        <f t="shared" si="175"/>
        <v>804</v>
      </c>
      <c r="BM159" s="487">
        <f t="shared" si="176"/>
        <v>-25.489310000000046</v>
      </c>
      <c r="BN159" s="487">
        <v>780</v>
      </c>
      <c r="BO159" s="595">
        <v>780</v>
      </c>
      <c r="BP159" s="39">
        <f t="shared" si="165"/>
        <v>12</v>
      </c>
      <c r="BQ159" s="579">
        <f t="shared" si="177"/>
        <v>-3.0728919218983117E-2</v>
      </c>
      <c r="BR159" s="99">
        <f t="shared" si="166"/>
        <v>1.5625E-2</v>
      </c>
      <c r="BS159" s="487">
        <v>35</v>
      </c>
      <c r="BV159" s="79">
        <v>0</v>
      </c>
      <c r="BW159" s="280">
        <f t="shared" ref="BW159:BW165" si="200">BN159+BS159+BT159+BU159+BV159</f>
        <v>815</v>
      </c>
      <c r="BX159" s="39">
        <f t="shared" si="179"/>
        <v>11</v>
      </c>
      <c r="BY159" s="51">
        <f t="shared" si="180"/>
        <v>1.3681592039800995E-2</v>
      </c>
    </row>
    <row r="160" spans="1:77" s="79" customFormat="1" ht="18" customHeight="1">
      <c r="A160" s="59" t="s">
        <v>29</v>
      </c>
      <c r="B160" s="323">
        <v>0</v>
      </c>
      <c r="C160" s="323">
        <v>0</v>
      </c>
      <c r="D160" s="323">
        <f t="shared" si="143"/>
        <v>0</v>
      </c>
      <c r="E160" s="593" t="s">
        <v>78</v>
      </c>
      <c r="F160" s="582">
        <v>172</v>
      </c>
      <c r="G160" s="582">
        <f t="shared" si="145"/>
        <v>172</v>
      </c>
      <c r="H160" s="340" t="s">
        <v>78</v>
      </c>
      <c r="I160" s="582">
        <v>234</v>
      </c>
      <c r="J160" s="582">
        <f t="shared" si="147"/>
        <v>62</v>
      </c>
      <c r="K160" s="274">
        <f t="shared" si="148"/>
        <v>0.36046511627906974</v>
      </c>
      <c r="L160" s="62">
        <v>232</v>
      </c>
      <c r="M160" s="62">
        <v>-2</v>
      </c>
      <c r="N160" s="241">
        <v>-8.5470085470085479E-3</v>
      </c>
      <c r="O160" s="62">
        <v>233</v>
      </c>
      <c r="P160" s="62">
        <f t="shared" si="181"/>
        <v>1</v>
      </c>
      <c r="Q160" s="241">
        <f t="shared" si="190"/>
        <v>4.3103448275862068E-3</v>
      </c>
      <c r="R160" s="62">
        <v>266</v>
      </c>
      <c r="S160" s="62">
        <f t="shared" si="167"/>
        <v>33</v>
      </c>
      <c r="T160" s="241">
        <f t="shared" si="191"/>
        <v>0.14163090128755365</v>
      </c>
      <c r="U160" s="62">
        <v>306</v>
      </c>
      <c r="V160" s="62">
        <f t="shared" si="182"/>
        <v>40</v>
      </c>
      <c r="W160" s="241">
        <f t="shared" si="183"/>
        <v>0.15037593984962405</v>
      </c>
      <c r="X160" s="166">
        <v>295</v>
      </c>
      <c r="Y160" s="62">
        <f t="shared" si="192"/>
        <v>-11</v>
      </c>
      <c r="Z160" s="95">
        <f t="shared" si="193"/>
        <v>-3.5947712418300651E-2</v>
      </c>
      <c r="AA160" s="202">
        <v>462</v>
      </c>
      <c r="AB160" s="583">
        <f t="shared" si="194"/>
        <v>167</v>
      </c>
      <c r="AC160" s="584">
        <f t="shared" si="195"/>
        <v>0.56610169491525419</v>
      </c>
      <c r="AD160" s="537">
        <v>463</v>
      </c>
      <c r="AE160" s="537"/>
      <c r="AF160" s="62">
        <v>423</v>
      </c>
      <c r="AG160" s="62">
        <f t="shared" si="168"/>
        <v>-39</v>
      </c>
      <c r="AH160" s="241">
        <f t="shared" si="169"/>
        <v>-8.4415584415584416E-2</v>
      </c>
      <c r="AI160" s="79">
        <v>463</v>
      </c>
      <c r="AJ160" s="79">
        <v>463</v>
      </c>
      <c r="AK160" s="585">
        <v>480</v>
      </c>
      <c r="AL160" s="136"/>
      <c r="AM160" s="202">
        <f t="shared" si="170"/>
        <v>480</v>
      </c>
      <c r="AN160" s="5">
        <v>392</v>
      </c>
      <c r="AO160" s="5">
        <v>392</v>
      </c>
      <c r="AP160" s="585">
        <v>20</v>
      </c>
      <c r="AQ160" s="78">
        <v>9</v>
      </c>
      <c r="AR160" s="78">
        <f t="shared" si="184"/>
        <v>29</v>
      </c>
      <c r="AS160" s="65">
        <f t="shared" si="185"/>
        <v>395.33764000000002</v>
      </c>
      <c r="AT160" s="78">
        <f t="shared" si="186"/>
        <v>-27.662359999999978</v>
      </c>
      <c r="AU160" s="260">
        <f t="shared" si="187"/>
        <v>-6.5395650118203252E-2</v>
      </c>
      <c r="AV160" s="78">
        <f t="shared" si="198"/>
        <v>-27.662359999999978</v>
      </c>
      <c r="AW160" s="260">
        <f t="shared" si="199"/>
        <v>-6.5395650118203252E-2</v>
      </c>
      <c r="AX160" s="62">
        <v>379</v>
      </c>
      <c r="AY160" s="62">
        <f t="shared" si="171"/>
        <v>-44</v>
      </c>
      <c r="AZ160" s="241">
        <f t="shared" si="172"/>
        <v>-0.10401891252955082</v>
      </c>
      <c r="BA160" s="616">
        <v>378.85183000000001</v>
      </c>
      <c r="BB160" s="616">
        <v>366.33764000000002</v>
      </c>
      <c r="BC160" s="616">
        <f t="shared" si="188"/>
        <v>12.514189999999985</v>
      </c>
      <c r="BD160" s="31">
        <f t="shared" si="189"/>
        <v>3.3031884787253066E-2</v>
      </c>
      <c r="BE160" s="62">
        <v>373</v>
      </c>
      <c r="BF160" s="62">
        <f t="shared" si="173"/>
        <v>-6</v>
      </c>
      <c r="BG160" s="241">
        <f t="shared" si="174"/>
        <v>-1.5831134564643801E-2</v>
      </c>
      <c r="BH160" s="78">
        <v>16</v>
      </c>
      <c r="BI160" s="78"/>
      <c r="BJ160" s="78"/>
      <c r="BK160" s="78">
        <v>6</v>
      </c>
      <c r="BL160" s="487">
        <f t="shared" si="175"/>
        <v>395</v>
      </c>
      <c r="BM160" s="487">
        <f t="shared" si="176"/>
        <v>-0.3376400000000217</v>
      </c>
      <c r="BN160" s="487">
        <v>394</v>
      </c>
      <c r="BO160" s="595">
        <v>394</v>
      </c>
      <c r="BP160" s="39">
        <f t="shared" si="165"/>
        <v>21</v>
      </c>
      <c r="BQ160" s="579">
        <f t="shared" si="177"/>
        <v>-8.5405477707617644E-4</v>
      </c>
      <c r="BR160" s="99">
        <f t="shared" si="166"/>
        <v>5.6300268096514748E-2</v>
      </c>
      <c r="BS160" s="487">
        <v>19</v>
      </c>
      <c r="BV160" s="79">
        <v>0</v>
      </c>
      <c r="BW160" s="280">
        <f t="shared" si="200"/>
        <v>413</v>
      </c>
      <c r="BX160" s="39">
        <f t="shared" si="179"/>
        <v>18</v>
      </c>
      <c r="BY160" s="51">
        <f t="shared" si="180"/>
        <v>4.5569620253164557E-2</v>
      </c>
    </row>
    <row r="161" spans="1:77" s="79" customFormat="1" ht="18" customHeight="1">
      <c r="A161" s="53" t="s">
        <v>191</v>
      </c>
      <c r="B161" s="340">
        <v>43651</v>
      </c>
      <c r="C161" s="593">
        <v>35934</v>
      </c>
      <c r="D161" s="593">
        <f>C161-B161</f>
        <v>-7717</v>
      </c>
      <c r="E161" s="601">
        <f>D161/B161</f>
        <v>-0.17678861881743832</v>
      </c>
      <c r="F161" s="340">
        <v>40644</v>
      </c>
      <c r="G161" s="340">
        <f>F161-C161</f>
        <v>4710</v>
      </c>
      <c r="H161" s="603">
        <f>G161/C161</f>
        <v>0.13107363499749541</v>
      </c>
      <c r="I161" s="604">
        <v>31233</v>
      </c>
      <c r="J161" s="582">
        <f>I161-F161</f>
        <v>-9411</v>
      </c>
      <c r="K161" s="274">
        <f>J161/F161</f>
        <v>-0.2315470918216711</v>
      </c>
      <c r="L161" s="24">
        <v>38462</v>
      </c>
      <c r="M161" s="62">
        <f>L161-I161</f>
        <v>7229</v>
      </c>
      <c r="N161" s="241">
        <f>M161/I161</f>
        <v>0.23145391092754458</v>
      </c>
      <c r="O161" s="155">
        <v>50693</v>
      </c>
      <c r="P161" s="62">
        <f t="shared" si="181"/>
        <v>12231</v>
      </c>
      <c r="Q161" s="241">
        <f t="shared" si="190"/>
        <v>0.31800218397379232</v>
      </c>
      <c r="R161" s="62">
        <v>68157</v>
      </c>
      <c r="S161" s="155">
        <f t="shared" si="167"/>
        <v>17464</v>
      </c>
      <c r="T161" s="241">
        <f t="shared" si="191"/>
        <v>0.34450515850314639</v>
      </c>
      <c r="U161" s="62">
        <v>73936</v>
      </c>
      <c r="V161" s="62">
        <f t="shared" si="182"/>
        <v>5779</v>
      </c>
      <c r="W161" s="241">
        <f t="shared" si="183"/>
        <v>8.478953005560691E-2</v>
      </c>
      <c r="X161" s="166">
        <v>84463</v>
      </c>
      <c r="Y161" s="62">
        <f t="shared" si="192"/>
        <v>10527</v>
      </c>
      <c r="Z161" s="95">
        <f t="shared" si="193"/>
        <v>0.14237989612637958</v>
      </c>
      <c r="AA161" s="202">
        <v>81143</v>
      </c>
      <c r="AB161" s="583">
        <f t="shared" si="194"/>
        <v>-3320</v>
      </c>
      <c r="AC161" s="584">
        <f t="shared" si="195"/>
        <v>-3.9307152244177926E-2</v>
      </c>
      <c r="AD161" s="78">
        <v>85016</v>
      </c>
      <c r="AE161" s="78"/>
      <c r="AF161" s="62">
        <v>97016</v>
      </c>
      <c r="AG161" s="62">
        <f t="shared" si="168"/>
        <v>15873</v>
      </c>
      <c r="AH161" s="241">
        <f t="shared" si="169"/>
        <v>0.19561761334927227</v>
      </c>
      <c r="AI161" s="78">
        <f>AD161+12468</f>
        <v>97484</v>
      </c>
      <c r="AJ161" s="78">
        <f>AF161+12468</f>
        <v>109484</v>
      </c>
      <c r="AK161" s="585">
        <v>97865</v>
      </c>
      <c r="AL161" s="136"/>
      <c r="AM161" s="202">
        <f t="shared" si="170"/>
        <v>97865</v>
      </c>
      <c r="AN161" s="519">
        <v>90553</v>
      </c>
      <c r="AO161" s="519">
        <v>90553</v>
      </c>
      <c r="AP161" s="585">
        <v>2402</v>
      </c>
      <c r="AQ161" s="78">
        <v>460</v>
      </c>
      <c r="AR161" s="78">
        <f t="shared" si="184"/>
        <v>2862</v>
      </c>
      <c r="AS161" s="65">
        <f t="shared" si="185"/>
        <v>99926.359840000005</v>
      </c>
      <c r="AT161" s="78">
        <f t="shared" si="186"/>
        <v>2910.3598400000046</v>
      </c>
      <c r="AU161" s="260">
        <f t="shared" si="187"/>
        <v>2.9998761441411774E-2</v>
      </c>
      <c r="AV161" s="78">
        <f t="shared" si="198"/>
        <v>2910.3598400000046</v>
      </c>
      <c r="AW161" s="260">
        <f t="shared" si="199"/>
        <v>2.9998761441411774E-2</v>
      </c>
      <c r="AX161" s="62">
        <f>90311+8400</f>
        <v>98711</v>
      </c>
      <c r="AY161" s="62">
        <f t="shared" si="171"/>
        <v>1695</v>
      </c>
      <c r="AZ161" s="241">
        <f t="shared" si="172"/>
        <v>1.7471344932794591E-2</v>
      </c>
      <c r="BA161" s="616">
        <v>98710.513139999995</v>
      </c>
      <c r="BB161" s="616">
        <v>97064.359840000005</v>
      </c>
      <c r="BC161" s="616">
        <f t="shared" si="188"/>
        <v>1646.1532999999908</v>
      </c>
      <c r="BD161" s="31">
        <f t="shared" si="189"/>
        <v>1.6676575246501558E-2</v>
      </c>
      <c r="BE161" s="62">
        <v>106899</v>
      </c>
      <c r="BF161" s="62">
        <f t="shared" si="173"/>
        <v>8188</v>
      </c>
      <c r="BG161" s="241">
        <f t="shared" si="174"/>
        <v>8.2949215386329794E-2</v>
      </c>
      <c r="BH161" s="78">
        <v>2253</v>
      </c>
      <c r="BI161" s="78"/>
      <c r="BJ161" s="78"/>
      <c r="BK161" s="78">
        <v>86</v>
      </c>
      <c r="BL161" s="487">
        <f t="shared" si="175"/>
        <v>109238</v>
      </c>
      <c r="BM161" s="487">
        <f t="shared" si="176"/>
        <v>9311.6401599999954</v>
      </c>
      <c r="BN161" s="487">
        <v>106384</v>
      </c>
      <c r="BO161" s="595">
        <v>106384</v>
      </c>
      <c r="BP161" s="39">
        <f t="shared" si="165"/>
        <v>-515</v>
      </c>
      <c r="BQ161" s="579">
        <f t="shared" si="177"/>
        <v>9.31850232001806E-2</v>
      </c>
      <c r="BR161" s="99">
        <f t="shared" si="166"/>
        <v>-4.8176315961795712E-3</v>
      </c>
      <c r="BS161" s="487">
        <v>2580</v>
      </c>
      <c r="BV161" s="79">
        <v>5</v>
      </c>
      <c r="BW161" s="280">
        <f t="shared" si="200"/>
        <v>108969</v>
      </c>
      <c r="BX161" s="39">
        <f t="shared" si="179"/>
        <v>-269</v>
      </c>
      <c r="BY161" s="51">
        <f t="shared" si="180"/>
        <v>-2.4625130449111117E-3</v>
      </c>
    </row>
    <row r="162" spans="1:77" ht="18" customHeight="1">
      <c r="A162" s="63" t="s">
        <v>192</v>
      </c>
      <c r="B162" s="330">
        <v>31598</v>
      </c>
      <c r="C162" s="325">
        <v>33719</v>
      </c>
      <c r="D162" s="325">
        <f>C162-B162</f>
        <v>2121</v>
      </c>
      <c r="E162" s="326">
        <f>D162/B162</f>
        <v>6.7124501550731061E-2</v>
      </c>
      <c r="F162" s="330">
        <v>43645</v>
      </c>
      <c r="G162" s="330">
        <f>F162-C162</f>
        <v>9926</v>
      </c>
      <c r="H162" s="484">
        <f>G162/C162</f>
        <v>0.29437409175835583</v>
      </c>
      <c r="I162" s="531">
        <v>16718</v>
      </c>
      <c r="J162" s="10">
        <f>I162-F162</f>
        <v>-26927</v>
      </c>
      <c r="K162" s="14">
        <f>J162/F162</f>
        <v>-0.61695497766067131</v>
      </c>
      <c r="L162" s="81">
        <v>23708</v>
      </c>
      <c r="M162" s="52">
        <f>L162-I162</f>
        <v>6990</v>
      </c>
      <c r="N162" s="58">
        <f>M162/I162</f>
        <v>0.41811221437971047</v>
      </c>
      <c r="O162" s="69">
        <v>20914</v>
      </c>
      <c r="P162" s="52">
        <f t="shared" si="181"/>
        <v>-2794</v>
      </c>
      <c r="Q162" s="58">
        <f t="shared" si="190"/>
        <v>-0.11785051459422979</v>
      </c>
      <c r="R162" s="69">
        <v>72284</v>
      </c>
      <c r="S162" s="69">
        <f t="shared" si="167"/>
        <v>51370</v>
      </c>
      <c r="T162" s="58">
        <f t="shared" si="191"/>
        <v>2.4562494023142394</v>
      </c>
      <c r="U162" s="52">
        <v>83057</v>
      </c>
      <c r="V162" s="52">
        <f t="shared" si="182"/>
        <v>10773</v>
      </c>
      <c r="W162" s="58">
        <f t="shared" si="183"/>
        <v>0.14903713131536717</v>
      </c>
      <c r="X162" s="166">
        <v>86010</v>
      </c>
      <c r="Y162" s="52">
        <f t="shared" si="192"/>
        <v>2953</v>
      </c>
      <c r="Z162" s="95">
        <f>Y162/U162</f>
        <v>3.5553896721528588E-2</v>
      </c>
      <c r="AA162" s="202">
        <v>94871</v>
      </c>
      <c r="AB162" s="172">
        <f t="shared" si="194"/>
        <v>8861</v>
      </c>
      <c r="AC162" s="100">
        <f t="shared" si="195"/>
        <v>0.10302290431345193</v>
      </c>
      <c r="AD162" s="65">
        <v>62007</v>
      </c>
      <c r="AE162" s="65">
        <v>6200</v>
      </c>
      <c r="AF162" s="52">
        <v>64902</v>
      </c>
      <c r="AG162" s="52">
        <f t="shared" si="168"/>
        <v>-29969</v>
      </c>
      <c r="AH162" s="58">
        <f t="shared" si="169"/>
        <v>-0.3158921061230513</v>
      </c>
      <c r="AI162" s="65">
        <f>AD162-373</f>
        <v>61634</v>
      </c>
      <c r="AJ162" s="65">
        <f>AF162-373</f>
        <v>64529</v>
      </c>
      <c r="AK162" s="220">
        <v>64937</v>
      </c>
      <c r="AL162" s="136">
        <v>100</v>
      </c>
      <c r="AM162" s="256">
        <f t="shared" si="170"/>
        <v>65037</v>
      </c>
      <c r="AN162" s="27">
        <v>56715</v>
      </c>
      <c r="AO162" s="27">
        <v>62915</v>
      </c>
      <c r="AQ162" s="65">
        <v>179</v>
      </c>
      <c r="AR162" s="65">
        <f t="shared" si="184"/>
        <v>179</v>
      </c>
      <c r="AS162" s="65">
        <f t="shared" si="185"/>
        <v>58890.613149999997</v>
      </c>
      <c r="AT162" s="65">
        <f t="shared" si="186"/>
        <v>-6011.3868500000026</v>
      </c>
      <c r="AU162" s="99">
        <f t="shared" si="187"/>
        <v>-9.2622520877630926E-2</v>
      </c>
      <c r="AV162" s="65">
        <f t="shared" si="198"/>
        <v>-6011.3868500000026</v>
      </c>
      <c r="AW162" s="99">
        <f t="shared" si="199"/>
        <v>-9.2622520877630926E-2</v>
      </c>
      <c r="AX162" s="52">
        <v>59544</v>
      </c>
      <c r="AY162" s="52">
        <f t="shared" si="171"/>
        <v>-5358</v>
      </c>
      <c r="AZ162" s="58">
        <f t="shared" si="172"/>
        <v>-8.2555237126744938E-2</v>
      </c>
      <c r="BA162" s="616">
        <f>53343.66569+7913.545</f>
        <v>61257.21069</v>
      </c>
      <c r="BB162" s="616">
        <f>53084.05282+5627.56033</f>
        <v>58711.613149999997</v>
      </c>
      <c r="BC162" s="616">
        <f t="shared" si="188"/>
        <v>2545.5975400000025</v>
      </c>
      <c r="BD162" s="31">
        <f t="shared" si="189"/>
        <v>4.1555883973926379E-2</v>
      </c>
      <c r="BE162" s="52">
        <f>53344+6900</f>
        <v>60244</v>
      </c>
      <c r="BF162" s="52">
        <f t="shared" si="173"/>
        <v>700</v>
      </c>
      <c r="BG162" s="58">
        <f t="shared" si="174"/>
        <v>1.1756012360607282E-2</v>
      </c>
      <c r="BH162" s="65"/>
      <c r="BI162" s="65"/>
      <c r="BJ162" s="65"/>
      <c r="BK162" s="65"/>
      <c r="BL162" s="39">
        <f t="shared" si="175"/>
        <v>60244</v>
      </c>
      <c r="BM162" s="39">
        <f t="shared" si="176"/>
        <v>1353.3868500000026</v>
      </c>
      <c r="BN162" s="39">
        <v>61276</v>
      </c>
      <c r="BO162" s="534">
        <v>61276</v>
      </c>
      <c r="BP162" s="39">
        <f t="shared" si="165"/>
        <v>1032</v>
      </c>
      <c r="BQ162" s="51">
        <f t="shared" si="177"/>
        <v>2.2981367956770929E-2</v>
      </c>
      <c r="BR162" s="99">
        <f t="shared" si="166"/>
        <v>1.7130336631033798E-2</v>
      </c>
      <c r="BS162" s="39">
        <v>6403</v>
      </c>
      <c r="BV162" s="50">
        <v>1</v>
      </c>
      <c r="BW162" s="280">
        <f t="shared" si="200"/>
        <v>67680</v>
      </c>
      <c r="BX162" s="39">
        <f t="shared" si="179"/>
        <v>7436</v>
      </c>
      <c r="BY162" s="51">
        <f t="shared" si="180"/>
        <v>0.12343137905849545</v>
      </c>
    </row>
    <row r="163" spans="1:77" ht="18" customHeight="1">
      <c r="A163" s="63" t="s">
        <v>194</v>
      </c>
      <c r="B163" s="330">
        <v>258526</v>
      </c>
      <c r="C163" s="325">
        <v>271376</v>
      </c>
      <c r="D163" s="325">
        <f>C163-B163</f>
        <v>12850</v>
      </c>
      <c r="E163" s="326">
        <f>D163/B163</f>
        <v>4.9704865274672563E-2</v>
      </c>
      <c r="F163" s="330">
        <v>357124</v>
      </c>
      <c r="G163" s="330">
        <f>F163-C163</f>
        <v>85748</v>
      </c>
      <c r="H163" s="484">
        <f>G163/C163</f>
        <v>0.31597488355639408</v>
      </c>
      <c r="I163" s="531">
        <v>418388</v>
      </c>
      <c r="J163" s="10">
        <f t="shared" si="147"/>
        <v>61264</v>
      </c>
      <c r="K163" s="14">
        <f t="shared" si="148"/>
        <v>0.17154825774800911</v>
      </c>
      <c r="L163" s="81">
        <v>432513</v>
      </c>
      <c r="M163" s="52">
        <f>L163-I163</f>
        <v>14125</v>
      </c>
      <c r="N163" s="58">
        <f>M163/I163</f>
        <v>3.3760528504641625E-2</v>
      </c>
      <c r="O163" s="69">
        <v>444981</v>
      </c>
      <c r="P163" s="52">
        <f t="shared" si="181"/>
        <v>12468</v>
      </c>
      <c r="Q163" s="58">
        <f t="shared" si="190"/>
        <v>2.8826879192070526E-2</v>
      </c>
      <c r="R163" s="69">
        <v>486711</v>
      </c>
      <c r="S163" s="69">
        <f t="shared" si="167"/>
        <v>41730</v>
      </c>
      <c r="T163" s="58">
        <f t="shared" si="191"/>
        <v>9.3779284958234177E-2</v>
      </c>
      <c r="U163" s="52">
        <v>547437</v>
      </c>
      <c r="V163" s="52">
        <f t="shared" si="182"/>
        <v>60726</v>
      </c>
      <c r="W163" s="58">
        <f t="shared" si="183"/>
        <v>0.12476808619488773</v>
      </c>
      <c r="X163" s="166">
        <v>573609</v>
      </c>
      <c r="Y163" s="52">
        <f t="shared" si="192"/>
        <v>26172</v>
      </c>
      <c r="Z163" s="95">
        <f t="shared" si="193"/>
        <v>4.7808240948273503E-2</v>
      </c>
      <c r="AA163" s="202">
        <f>464159</f>
        <v>464159</v>
      </c>
      <c r="AB163" s="172">
        <f t="shared" si="194"/>
        <v>-109450</v>
      </c>
      <c r="AC163" s="100">
        <f>AB163/X163</f>
        <v>-0.19080941895960488</v>
      </c>
      <c r="AD163" s="65">
        <v>486691</v>
      </c>
      <c r="AE163" s="65">
        <f>25764+1823</f>
        <v>27587</v>
      </c>
      <c r="AF163" s="52">
        <f>530124</f>
        <v>530124</v>
      </c>
      <c r="AG163" s="52">
        <f t="shared" si="168"/>
        <v>65965</v>
      </c>
      <c r="AH163" s="58">
        <f t="shared" si="169"/>
        <v>0.14211724861523745</v>
      </c>
      <c r="AI163" s="65">
        <f>AD163+149</f>
        <v>486840</v>
      </c>
      <c r="AJ163" s="65">
        <f>AF163+20214</f>
        <v>550338</v>
      </c>
      <c r="AK163" s="220">
        <v>700069</v>
      </c>
      <c r="AL163" s="136"/>
      <c r="AM163" s="256">
        <f t="shared" si="170"/>
        <v>700069</v>
      </c>
      <c r="AN163" s="27">
        <f>509039</f>
        <v>509039</v>
      </c>
      <c r="AO163" s="27">
        <f>580186</f>
        <v>580186</v>
      </c>
      <c r="AQ163" s="219">
        <v>10</v>
      </c>
      <c r="AR163" s="65">
        <f t="shared" si="184"/>
        <v>10</v>
      </c>
      <c r="AS163" s="65">
        <f t="shared" si="185"/>
        <v>608886.04353999998</v>
      </c>
      <c r="AT163" s="65">
        <f t="shared" si="186"/>
        <v>78762.043539999984</v>
      </c>
      <c r="AU163" s="99">
        <f t="shared" si="187"/>
        <v>0.14857286887596108</v>
      </c>
      <c r="AV163" s="65">
        <f t="shared" si="198"/>
        <v>78762.043539999984</v>
      </c>
      <c r="AW163" s="99">
        <f t="shared" si="199"/>
        <v>0.14857286887596108</v>
      </c>
      <c r="AX163" s="52">
        <f>591800+80700+26397</f>
        <v>698897</v>
      </c>
      <c r="AY163" s="52">
        <f>AX163-AF163</f>
        <v>168773</v>
      </c>
      <c r="AZ163" s="58">
        <f t="shared" si="172"/>
        <v>0.31836513721318033</v>
      </c>
      <c r="BA163" s="616">
        <f>557713.53049+58465.71093+1267.74466</f>
        <v>617446.98608000006</v>
      </c>
      <c r="BB163" s="616">
        <f>557237.35858+50578.72291+1059.96205</f>
        <v>608876.04353999998</v>
      </c>
      <c r="BC163" s="616">
        <f t="shared" si="188"/>
        <v>8570.9425400000764</v>
      </c>
      <c r="BD163" s="31">
        <f t="shared" si="189"/>
        <v>1.3881260631644859E-2</v>
      </c>
      <c r="BE163" s="52">
        <f>706660</f>
        <v>706660</v>
      </c>
      <c r="BF163" s="52">
        <f t="shared" si="173"/>
        <v>7763</v>
      </c>
      <c r="BG163" s="58">
        <f t="shared" si="174"/>
        <v>1.1107502249973887E-2</v>
      </c>
      <c r="BH163" s="65"/>
      <c r="BI163" s="65"/>
      <c r="BJ163" s="65"/>
      <c r="BK163" s="65"/>
      <c r="BL163" s="39">
        <f>BE163+BH163+BI163+BJ163+BK163</f>
        <v>706660</v>
      </c>
      <c r="BM163" s="39">
        <f t="shared" si="176"/>
        <v>97773.956460000016</v>
      </c>
      <c r="BN163" s="39">
        <v>750612</v>
      </c>
      <c r="BO163" s="534">
        <v>756415</v>
      </c>
      <c r="BP163" s="39">
        <f t="shared" si="165"/>
        <v>49755</v>
      </c>
      <c r="BQ163" s="51">
        <f t="shared" si="177"/>
        <v>0.16057841610484686</v>
      </c>
      <c r="BR163" s="99">
        <f t="shared" si="166"/>
        <v>7.0408683100783964E-2</v>
      </c>
      <c r="BS163" s="39">
        <v>1160</v>
      </c>
      <c r="BV163" s="50">
        <v>3</v>
      </c>
      <c r="BW163" s="280">
        <f t="shared" si="200"/>
        <v>751775</v>
      </c>
      <c r="BX163" s="39">
        <f t="shared" si="179"/>
        <v>45115</v>
      </c>
      <c r="BY163" s="51">
        <f t="shared" si="180"/>
        <v>6.3842583420598301E-2</v>
      </c>
    </row>
    <row r="164" spans="1:77" ht="18" customHeight="1">
      <c r="A164" s="619" t="s">
        <v>419</v>
      </c>
      <c r="B164" s="330"/>
      <c r="C164" s="325"/>
      <c r="D164" s="325"/>
      <c r="E164" s="326"/>
      <c r="F164" s="330"/>
      <c r="G164" s="330"/>
      <c r="H164" s="484"/>
      <c r="I164" s="531"/>
      <c r="J164" s="10"/>
      <c r="L164" s="81"/>
      <c r="M164" s="52"/>
      <c r="N164" s="58"/>
      <c r="O164" s="69"/>
      <c r="P164" s="52"/>
      <c r="Q164" s="58"/>
      <c r="R164" s="69"/>
      <c r="S164" s="69"/>
      <c r="T164" s="58"/>
      <c r="U164" s="52"/>
      <c r="V164" s="52"/>
      <c r="W164" s="58"/>
      <c r="Y164" s="52"/>
      <c r="AB164" s="172"/>
      <c r="AD164" s="65"/>
      <c r="AE164" s="65"/>
      <c r="AH164" s="58"/>
      <c r="AI164" s="65"/>
      <c r="AJ164" s="65"/>
      <c r="AK164" s="220"/>
      <c r="AL164" s="136"/>
      <c r="AM164" s="256"/>
      <c r="AN164" s="27"/>
      <c r="AO164" s="27"/>
      <c r="AQ164" s="219"/>
      <c r="AR164" s="65"/>
      <c r="AS164" s="65">
        <f t="shared" si="185"/>
        <v>11200</v>
      </c>
      <c r="AT164" s="65"/>
      <c r="AU164" s="99"/>
      <c r="AV164" s="65"/>
      <c r="AW164" s="99"/>
      <c r="BA164" s="617">
        <v>11200</v>
      </c>
      <c r="BB164" s="617">
        <v>11200</v>
      </c>
      <c r="BC164" s="616">
        <f t="shared" si="188"/>
        <v>0</v>
      </c>
      <c r="BD164" s="31">
        <f t="shared" si="189"/>
        <v>0</v>
      </c>
      <c r="BH164" s="65"/>
      <c r="BI164" s="65"/>
      <c r="BJ164" s="65"/>
      <c r="BK164" s="65"/>
      <c r="BL164" s="39"/>
      <c r="BM164" s="39"/>
      <c r="BN164" s="39"/>
      <c r="BO164" s="534"/>
      <c r="BP164" s="39">
        <f t="shared" si="165"/>
        <v>0</v>
      </c>
      <c r="BQ164" s="51"/>
      <c r="BR164" s="99" t="e">
        <f t="shared" si="166"/>
        <v>#DIV/0!</v>
      </c>
      <c r="BW164" s="280">
        <f t="shared" si="200"/>
        <v>0</v>
      </c>
      <c r="BX164" s="39">
        <f t="shared" si="179"/>
        <v>0</v>
      </c>
      <c r="BY164" s="51" t="e">
        <f t="shared" si="180"/>
        <v>#DIV/0!</v>
      </c>
    </row>
    <row r="165" spans="1:77" s="54" customFormat="1" ht="18" customHeight="1" thickBot="1">
      <c r="A165" s="54" t="s">
        <v>80</v>
      </c>
      <c r="B165" s="330" t="s">
        <v>78</v>
      </c>
      <c r="C165" s="325" t="s">
        <v>78</v>
      </c>
      <c r="D165" s="329" t="s">
        <v>78</v>
      </c>
      <c r="E165" s="329" t="s">
        <v>78</v>
      </c>
      <c r="F165" s="329" t="s">
        <v>78</v>
      </c>
      <c r="G165" s="329" t="s">
        <v>78</v>
      </c>
      <c r="H165" s="329" t="s">
        <v>78</v>
      </c>
      <c r="I165" s="332" t="s">
        <v>78</v>
      </c>
      <c r="J165" s="10"/>
      <c r="K165" s="14"/>
      <c r="L165" s="75">
        <v>44096</v>
      </c>
      <c r="M165" s="75">
        <v>-30042</v>
      </c>
      <c r="N165" s="77">
        <v>-0.40521729747228141</v>
      </c>
      <c r="O165" s="75">
        <v>0</v>
      </c>
      <c r="P165" s="75">
        <f t="shared" si="181"/>
        <v>-44096</v>
      </c>
      <c r="Q165" s="77">
        <f>P165/L165</f>
        <v>-1</v>
      </c>
      <c r="R165" s="75">
        <v>0</v>
      </c>
      <c r="S165" s="75">
        <f t="shared" si="167"/>
        <v>0</v>
      </c>
      <c r="T165" s="76" t="s">
        <v>78</v>
      </c>
      <c r="U165" s="74">
        <v>26927</v>
      </c>
      <c r="V165" s="75">
        <f t="shared" si="182"/>
        <v>26927</v>
      </c>
      <c r="W165" s="76" t="s">
        <v>78</v>
      </c>
      <c r="X165" s="177">
        <v>0</v>
      </c>
      <c r="Y165" s="75">
        <f t="shared" si="192"/>
        <v>-26927</v>
      </c>
      <c r="Z165" s="126">
        <f>Y165/U165</f>
        <v>-1</v>
      </c>
      <c r="AA165" s="206"/>
      <c r="AB165" s="174"/>
      <c r="AC165" s="128"/>
      <c r="AF165" s="75"/>
      <c r="AG165" s="75">
        <f t="shared" si="168"/>
        <v>0</v>
      </c>
      <c r="AH165" s="77" t="e">
        <f t="shared" si="169"/>
        <v>#DIV/0!</v>
      </c>
      <c r="AL165" s="136"/>
      <c r="AM165" s="256">
        <f t="shared" si="170"/>
        <v>0</v>
      </c>
      <c r="AO165" s="50"/>
      <c r="AQ165" s="94"/>
      <c r="AR165" s="94">
        <f t="shared" si="184"/>
        <v>0</v>
      </c>
      <c r="AS165" s="65">
        <f t="shared" si="185"/>
        <v>0</v>
      </c>
      <c r="AT165" s="65">
        <f t="shared" si="186"/>
        <v>0</v>
      </c>
      <c r="AU165" s="129" t="e">
        <f t="shared" si="187"/>
        <v>#DIV/0!</v>
      </c>
      <c r="AV165" s="263"/>
      <c r="AW165" s="263"/>
      <c r="AX165" s="75"/>
      <c r="AY165" s="75">
        <f t="shared" si="171"/>
        <v>0</v>
      </c>
      <c r="AZ165" s="77" t="e">
        <f t="shared" si="172"/>
        <v>#DIV/0!</v>
      </c>
      <c r="BA165" s="77"/>
      <c r="BB165" s="77"/>
      <c r="BC165" s="616">
        <f t="shared" si="188"/>
        <v>0</v>
      </c>
      <c r="BD165" s="31"/>
      <c r="BE165" s="75"/>
      <c r="BF165" s="75">
        <f>BE165-AX165</f>
        <v>0</v>
      </c>
      <c r="BG165" s="77" t="e">
        <f>BF165/AX165</f>
        <v>#DIV/0!</v>
      </c>
      <c r="BH165" s="94"/>
      <c r="BI165" s="94"/>
      <c r="BJ165" s="94"/>
      <c r="BK165" s="94"/>
      <c r="BL165" s="102">
        <f t="shared" si="175"/>
        <v>0</v>
      </c>
      <c r="BM165" s="102">
        <f>BL165-AS165</f>
        <v>0</v>
      </c>
      <c r="BN165" s="102"/>
      <c r="BO165" s="535"/>
      <c r="BP165" s="39">
        <f t="shared" si="165"/>
        <v>0</v>
      </c>
      <c r="BQ165" s="55" t="e">
        <f>BM165/AS165</f>
        <v>#DIV/0!</v>
      </c>
      <c r="BR165" s="99" t="e">
        <f t="shared" si="166"/>
        <v>#DIV/0!</v>
      </c>
      <c r="BS165" s="102"/>
      <c r="BW165" s="280">
        <f t="shared" si="200"/>
        <v>0</v>
      </c>
      <c r="BX165" s="39">
        <f t="shared" si="179"/>
        <v>0</v>
      </c>
      <c r="BY165" s="51" t="e">
        <f t="shared" si="180"/>
        <v>#DIV/0!</v>
      </c>
    </row>
    <row r="166" spans="1:77" s="13" customFormat="1" ht="18" customHeight="1">
      <c r="A166" s="64" t="s">
        <v>60</v>
      </c>
      <c r="B166" s="336">
        <f t="shared" ref="B166:I166" si="201">SUM(B146:B165)</f>
        <v>790990</v>
      </c>
      <c r="C166" s="336">
        <f t="shared" si="201"/>
        <v>933649</v>
      </c>
      <c r="D166" s="25">
        <f t="shared" si="143"/>
        <v>142659</v>
      </c>
      <c r="E166" s="359">
        <f t="shared" si="144"/>
        <v>0.18035499816685419</v>
      </c>
      <c r="F166" s="46">
        <f t="shared" si="201"/>
        <v>1043924</v>
      </c>
      <c r="G166" s="12">
        <f t="shared" si="145"/>
        <v>110275</v>
      </c>
      <c r="H166" s="15">
        <f t="shared" si="146"/>
        <v>0.11811183860315815</v>
      </c>
      <c r="I166" s="336">
        <f t="shared" si="201"/>
        <v>1064742</v>
      </c>
      <c r="J166" s="12">
        <f t="shared" si="147"/>
        <v>20818</v>
      </c>
      <c r="K166" s="15">
        <f t="shared" si="148"/>
        <v>1.9942064748008477E-2</v>
      </c>
      <c r="L166" s="12">
        <f>SUM(L146:L165)</f>
        <v>1091868</v>
      </c>
      <c r="M166" s="12">
        <v>-244746</v>
      </c>
      <c r="N166" s="36">
        <v>-0.17972453781216405</v>
      </c>
      <c r="O166" s="12">
        <f>SUM(O146:O165)-4306-34000</f>
        <v>1183582</v>
      </c>
      <c r="P166" s="12">
        <f>O166-L166</f>
        <v>91714</v>
      </c>
      <c r="Q166" s="36">
        <f>P166/L166</f>
        <v>8.399733301095004E-2</v>
      </c>
      <c r="R166" s="12">
        <f>SUM(R146:R165)</f>
        <v>1263548</v>
      </c>
      <c r="S166" s="12">
        <f t="shared" si="167"/>
        <v>79966</v>
      </c>
      <c r="T166" s="36">
        <f>S166/O166</f>
        <v>6.756270372479474E-2</v>
      </c>
      <c r="U166" s="12">
        <f>SUM(U146:U165)</f>
        <v>1467789</v>
      </c>
      <c r="V166" s="12">
        <f t="shared" ref="V166:W166" si="202">SUM(V146:V165)</f>
        <v>204241</v>
      </c>
      <c r="W166" s="36">
        <f t="shared" si="202"/>
        <v>1.9181338586370817</v>
      </c>
      <c r="X166" s="178">
        <f>SUM(X146:X165)</f>
        <v>1606978</v>
      </c>
      <c r="Y166" s="12">
        <f t="shared" si="192"/>
        <v>139189</v>
      </c>
      <c r="Z166" s="98">
        <f>Y166/U166</f>
        <v>9.4829025152797841E-2</v>
      </c>
      <c r="AA166" s="12">
        <f>SUM(AA146:AA165)</f>
        <v>1445377</v>
      </c>
      <c r="AB166" s="165">
        <f>AA166-X166</f>
        <v>-161601</v>
      </c>
      <c r="AC166" s="97">
        <f>AB166/X166</f>
        <v>-0.10056204876482441</v>
      </c>
      <c r="AD166" s="12">
        <f>SUM(AD146:AD165)</f>
        <v>1352453</v>
      </c>
      <c r="AE166" s="28">
        <f>SUM(AE146:AE165)</f>
        <v>57972</v>
      </c>
      <c r="AF166" s="12">
        <f>SUM(AF146:AF165)</f>
        <v>1471128</v>
      </c>
      <c r="AG166" s="12">
        <f t="shared" ref="AG166" si="203">AF166-AA166</f>
        <v>25751</v>
      </c>
      <c r="AH166" s="36">
        <f t="shared" ref="AH166" si="204">AG166/AA166</f>
        <v>1.7816113027950494E-2</v>
      </c>
      <c r="AI166" s="28">
        <f t="shared" ref="AI166:AO166" si="205">SUM(AI146:AI165)</f>
        <v>1385166</v>
      </c>
      <c r="AJ166" s="28">
        <f t="shared" si="205"/>
        <v>1524655</v>
      </c>
      <c r="AK166" s="28">
        <f t="shared" si="205"/>
        <v>1578032</v>
      </c>
      <c r="AL166" s="28">
        <f t="shared" si="205"/>
        <v>44836</v>
      </c>
      <c r="AM166" s="12">
        <f t="shared" si="205"/>
        <v>1622868</v>
      </c>
      <c r="AN166" s="12">
        <f t="shared" si="205"/>
        <v>1348335</v>
      </c>
      <c r="AO166" s="28">
        <f t="shared" si="205"/>
        <v>1449360</v>
      </c>
      <c r="AP166" s="13">
        <f>SUM(AP146:AP165)</f>
        <v>7651</v>
      </c>
      <c r="AQ166" s="28">
        <f t="shared" ref="AQ166:AR166" si="206">SUM(AQ146:AQ165)</f>
        <v>2995</v>
      </c>
      <c r="AR166" s="28">
        <f t="shared" si="206"/>
        <v>10646</v>
      </c>
      <c r="AS166" s="65">
        <f>BB166+AR166</f>
        <v>1477284.8808900001</v>
      </c>
      <c r="AT166" s="539">
        <f t="shared" si="186"/>
        <v>6156.8808900001459</v>
      </c>
      <c r="AU166" s="99">
        <f t="shared" si="187"/>
        <v>4.1851428903536235E-3</v>
      </c>
      <c r="AV166" s="28">
        <f>SUM(AV146:AV165)</f>
        <v>-5043.1191099999705</v>
      </c>
      <c r="AW166" s="97">
        <f>AV166/AF166</f>
        <v>-3.4280627586450469E-3</v>
      </c>
      <c r="AX166" s="12">
        <f>SUM(AX146:AX165)</f>
        <v>1583285</v>
      </c>
      <c r="AY166" s="52">
        <f t="shared" si="171"/>
        <v>112157</v>
      </c>
      <c r="AZ166" s="58">
        <f t="shared" si="172"/>
        <v>7.6238777319172765E-2</v>
      </c>
      <c r="BA166" s="58"/>
      <c r="BB166" s="65">
        <f>SUM(BB146:BB165)</f>
        <v>1466638.8808900001</v>
      </c>
      <c r="BC166" s="58"/>
      <c r="BD166" s="58"/>
      <c r="BE166" s="12">
        <f>SUM(BE146:BE165)</f>
        <v>1586516</v>
      </c>
      <c r="BF166" s="52">
        <f>BE166-AX166</f>
        <v>3231</v>
      </c>
      <c r="BG166" s="58">
        <f>BF166/AX166</f>
        <v>2.04069387381299E-3</v>
      </c>
      <c r="BH166" s="65">
        <f>SUM(BH146:BH165)</f>
        <v>16280</v>
      </c>
      <c r="BI166" s="65"/>
      <c r="BJ166" s="65"/>
      <c r="BK166" s="65">
        <f>SUM(BK146:BK165)</f>
        <v>426</v>
      </c>
      <c r="BL166" s="39">
        <f t="shared" si="175"/>
        <v>1603222</v>
      </c>
      <c r="BM166" s="39">
        <f>BL166-AS166</f>
        <v>125937.11910999985</v>
      </c>
      <c r="BN166" s="30">
        <f>SUM(BN146:BN165)</f>
        <v>1646039</v>
      </c>
      <c r="BO166" s="30">
        <f>SUM(BO146:BO165)</f>
        <v>1653665</v>
      </c>
      <c r="BP166" s="39">
        <f t="shared" si="165"/>
        <v>67149</v>
      </c>
      <c r="BQ166" s="51">
        <f>BM166/AS166</f>
        <v>8.524904081745438E-2</v>
      </c>
      <c r="BR166" s="99">
        <f t="shared" si="166"/>
        <v>4.2324817398626931E-2</v>
      </c>
      <c r="BS166" s="30"/>
      <c r="BW166" s="658">
        <f>BW146+BW147+BW148+BW149+BW150+BW151+BW152+BW153+BW154+BW155+BW156+BW157+BW158+BW159+BW160+BW161+BW162+BW163+BW164+BW165</f>
        <v>1724053</v>
      </c>
      <c r="BX166" s="636">
        <f t="shared" si="179"/>
        <v>120831</v>
      </c>
      <c r="BY166" s="543">
        <f t="shared" si="180"/>
        <v>7.5367603488475085E-2</v>
      </c>
    </row>
    <row r="167" spans="1:77" s="13" customFormat="1" ht="18" customHeight="1">
      <c r="A167" s="64" t="s">
        <v>455</v>
      </c>
      <c r="D167" s="323"/>
      <c r="E167" s="352"/>
      <c r="G167" s="10"/>
      <c r="H167" s="14"/>
      <c r="J167" s="10"/>
      <c r="K167" s="14"/>
      <c r="L167" s="12"/>
      <c r="M167" s="12"/>
      <c r="N167" s="36"/>
      <c r="O167" s="12"/>
      <c r="P167" s="12"/>
      <c r="Q167" s="36"/>
      <c r="R167" s="12"/>
      <c r="S167" s="12"/>
      <c r="T167" s="36"/>
      <c r="U167" s="12"/>
      <c r="V167" s="12"/>
      <c r="W167" s="36"/>
      <c r="X167" s="178"/>
      <c r="Y167" s="12"/>
      <c r="Z167" s="98"/>
      <c r="AA167" s="12"/>
      <c r="AB167" s="165"/>
      <c r="AC167" s="97"/>
      <c r="AD167" s="256">
        <v>37920</v>
      </c>
      <c r="AF167" s="256"/>
      <c r="AG167" s="52"/>
      <c r="AH167" s="58"/>
      <c r="AI167" s="28"/>
      <c r="AJ167" s="28"/>
      <c r="AK167" s="28"/>
      <c r="AL167" s="28"/>
      <c r="AM167" s="256"/>
      <c r="AR167" s="28"/>
      <c r="AS167" s="28"/>
      <c r="AT167" s="28"/>
      <c r="AU167" s="262"/>
      <c r="AV167" s="28"/>
      <c r="AW167" s="262"/>
      <c r="AX167" s="12"/>
      <c r="AY167" s="52"/>
      <c r="AZ167" s="58"/>
      <c r="BA167" s="58"/>
      <c r="BB167" s="58"/>
      <c r="BC167" s="58"/>
      <c r="BD167" s="58"/>
      <c r="BE167" s="12"/>
      <c r="BF167" s="52"/>
      <c r="BG167" s="58"/>
      <c r="BH167" s="65"/>
      <c r="BI167" s="65"/>
      <c r="BJ167" s="65"/>
      <c r="BK167" s="65"/>
      <c r="BL167" s="39"/>
      <c r="BM167" s="39"/>
      <c r="BN167" s="39">
        <f>+BN166+920</f>
        <v>1646959</v>
      </c>
      <c r="BO167" s="534">
        <f>BO166-920</f>
        <v>1652745</v>
      </c>
      <c r="BP167" s="39">
        <f t="shared" si="165"/>
        <v>1652745</v>
      </c>
      <c r="BQ167" s="51"/>
      <c r="BR167" s="99" t="e">
        <f t="shared" si="166"/>
        <v>#DIV/0!</v>
      </c>
      <c r="BS167" s="30"/>
      <c r="BW167" s="280">
        <f t="shared" ref="BW167:BW177" si="207">BN167+BS167+BT167+BU167+BV167</f>
        <v>1646959</v>
      </c>
      <c r="BX167" s="39">
        <f t="shared" si="179"/>
        <v>1646959</v>
      </c>
      <c r="BY167" s="51" t="e">
        <f t="shared" si="180"/>
        <v>#DIV/0!</v>
      </c>
    </row>
    <row r="168" spans="1:77" s="13" customFormat="1" ht="18" customHeight="1">
      <c r="A168" s="64" t="s">
        <v>456</v>
      </c>
      <c r="D168" s="323"/>
      <c r="E168" s="352"/>
      <c r="G168" s="10"/>
      <c r="H168" s="14"/>
      <c r="J168" s="10"/>
      <c r="K168" s="14"/>
      <c r="L168" s="12"/>
      <c r="M168" s="12"/>
      <c r="N168" s="36"/>
      <c r="O168" s="12"/>
      <c r="P168" s="12"/>
      <c r="Q168" s="36"/>
      <c r="R168" s="12"/>
      <c r="S168" s="12"/>
      <c r="T168" s="36"/>
      <c r="U168" s="12"/>
      <c r="V168" s="12"/>
      <c r="W168" s="36"/>
      <c r="X168" s="178"/>
      <c r="Y168" s="12"/>
      <c r="Z168" s="98"/>
      <c r="AA168" s="12"/>
      <c r="AB168" s="165"/>
      <c r="AC168" s="97"/>
      <c r="AD168" s="256">
        <f>+AD167+AD166</f>
        <v>1390373</v>
      </c>
      <c r="AE168" s="28"/>
      <c r="AF168" s="256"/>
      <c r="AG168" s="52"/>
      <c r="AH168" s="58"/>
      <c r="AI168" s="28"/>
      <c r="AJ168" s="28"/>
      <c r="AK168" s="28"/>
      <c r="AL168" s="28"/>
      <c r="AM168" s="256"/>
      <c r="AR168" s="28"/>
      <c r="AS168" s="28"/>
      <c r="AT168" s="28"/>
      <c r="AU168" s="262"/>
      <c r="AV168" s="28">
        <f>AS166-AF168</f>
        <v>1477284.8808900001</v>
      </c>
      <c r="AW168" s="262" t="e">
        <f>AV168/AF168</f>
        <v>#DIV/0!</v>
      </c>
      <c r="AX168" s="12"/>
      <c r="AY168" s="52"/>
      <c r="AZ168" s="58"/>
      <c r="BA168" s="58"/>
      <c r="BB168" s="58"/>
      <c r="BC168" s="58"/>
      <c r="BD168" s="58"/>
      <c r="BE168" s="12"/>
      <c r="BF168" s="52"/>
      <c r="BG168" s="58"/>
      <c r="BH168" s="65"/>
      <c r="BI168" s="65"/>
      <c r="BJ168" s="65"/>
      <c r="BK168" s="65"/>
      <c r="BL168" s="39"/>
      <c r="BM168" s="39"/>
      <c r="BN168" s="39">
        <f>+BN166+920</f>
        <v>1646959</v>
      </c>
      <c r="BO168" s="534">
        <f>BO166-920</f>
        <v>1652745</v>
      </c>
      <c r="BP168" s="39">
        <f t="shared" si="165"/>
        <v>1652745</v>
      </c>
      <c r="BQ168" s="51"/>
      <c r="BR168" s="99" t="e">
        <f t="shared" si="166"/>
        <v>#DIV/0!</v>
      </c>
      <c r="BS168" s="30"/>
      <c r="BW168" s="280">
        <f t="shared" si="207"/>
        <v>1646959</v>
      </c>
      <c r="BX168" s="39">
        <f t="shared" si="179"/>
        <v>1646959</v>
      </c>
      <c r="BY168" s="51" t="e">
        <f t="shared" si="180"/>
        <v>#DIV/0!</v>
      </c>
    </row>
    <row r="169" spans="1:77" s="13" customFormat="1" ht="18" customHeight="1">
      <c r="A169" s="64"/>
      <c r="D169" s="323"/>
      <c r="E169" s="352"/>
      <c r="G169" s="10"/>
      <c r="H169" s="14"/>
      <c r="J169" s="10"/>
      <c r="K169" s="14"/>
      <c r="L169" s="12"/>
      <c r="M169" s="12"/>
      <c r="N169" s="36"/>
      <c r="O169" s="12"/>
      <c r="P169" s="12"/>
      <c r="Q169" s="36"/>
      <c r="R169" s="12"/>
      <c r="S169" s="52"/>
      <c r="T169" s="58"/>
      <c r="U169" s="52"/>
      <c r="V169" s="52"/>
      <c r="W169" s="58"/>
      <c r="X169" s="180"/>
      <c r="Y169" s="163"/>
      <c r="Z169" s="98"/>
      <c r="AA169" s="202"/>
      <c r="AB169" s="172"/>
      <c r="AC169" s="97"/>
      <c r="AD169" s="13">
        <v>37920</v>
      </c>
      <c r="AE169" s="13" t="s">
        <v>249</v>
      </c>
      <c r="AF169" s="12"/>
      <c r="AG169" s="12"/>
      <c r="AX169" s="12"/>
      <c r="AY169" s="52"/>
      <c r="AZ169" s="58"/>
      <c r="BA169" s="58"/>
      <c r="BB169" s="58"/>
      <c r="BC169" s="58"/>
      <c r="BD169" s="58"/>
      <c r="BE169" s="97"/>
      <c r="BF169" s="52"/>
      <c r="BG169" s="58"/>
      <c r="BH169" s="65"/>
      <c r="BI169" s="65"/>
      <c r="BJ169" s="65"/>
      <c r="BK169" s="65"/>
      <c r="BL169" s="39"/>
      <c r="BM169" s="39"/>
      <c r="BN169" s="39"/>
      <c r="BO169" s="534"/>
      <c r="BP169" s="39">
        <f t="shared" si="165"/>
        <v>0</v>
      </c>
      <c r="BQ169" s="51"/>
      <c r="BR169" s="99" t="e">
        <f t="shared" si="166"/>
        <v>#DIV/0!</v>
      </c>
      <c r="BS169" s="30"/>
      <c r="BW169" s="280">
        <f t="shared" si="207"/>
        <v>0</v>
      </c>
      <c r="BX169" s="39">
        <f t="shared" si="179"/>
        <v>0</v>
      </c>
      <c r="BY169" s="51" t="e">
        <f t="shared" si="180"/>
        <v>#DIV/0!</v>
      </c>
    </row>
    <row r="170" spans="1:77" s="13" customFormat="1" ht="18" customHeight="1">
      <c r="A170" s="73" t="s">
        <v>85</v>
      </c>
      <c r="D170" s="323"/>
      <c r="E170" s="352"/>
      <c r="G170" s="10"/>
      <c r="H170" s="14"/>
      <c r="J170" s="10"/>
      <c r="K170" s="14"/>
      <c r="L170" s="12"/>
      <c r="M170" s="12"/>
      <c r="N170" s="36"/>
      <c r="O170" s="12"/>
      <c r="P170" s="12"/>
      <c r="Q170" s="36"/>
      <c r="R170" s="12"/>
      <c r="S170" s="52"/>
      <c r="T170" s="58"/>
      <c r="U170" s="52"/>
      <c r="V170" s="52"/>
      <c r="W170" s="58"/>
      <c r="X170" s="180"/>
      <c r="Y170" s="163"/>
      <c r="Z170" s="98"/>
      <c r="AA170" s="202"/>
      <c r="AB170" s="172"/>
      <c r="AC170" s="97"/>
      <c r="AF170" s="12"/>
      <c r="AG170" s="12"/>
      <c r="AX170" s="12"/>
      <c r="AY170" s="52"/>
      <c r="AZ170" s="58"/>
      <c r="BA170" s="58"/>
      <c r="BB170" s="58"/>
      <c r="BC170" s="58"/>
      <c r="BD170" s="58"/>
      <c r="BE170" s="12"/>
      <c r="BF170" s="52"/>
      <c r="BG170" s="58"/>
      <c r="BH170" s="65"/>
      <c r="BI170" s="65"/>
      <c r="BJ170" s="65"/>
      <c r="BK170" s="65"/>
      <c r="BL170" s="39"/>
      <c r="BM170" s="39"/>
      <c r="BN170" s="39"/>
      <c r="BO170" s="534"/>
      <c r="BP170" s="39">
        <f t="shared" si="165"/>
        <v>0</v>
      </c>
      <c r="BQ170" s="51"/>
      <c r="BR170" s="99" t="e">
        <f t="shared" si="166"/>
        <v>#DIV/0!</v>
      </c>
      <c r="BS170" s="30"/>
      <c r="BW170" s="280">
        <f t="shared" si="207"/>
        <v>0</v>
      </c>
      <c r="BX170" s="39">
        <f t="shared" si="179"/>
        <v>0</v>
      </c>
      <c r="BY170" s="51" t="e">
        <f t="shared" si="180"/>
        <v>#DIV/0!</v>
      </c>
    </row>
    <row r="171" spans="1:77" s="13" customFormat="1" ht="18" customHeight="1">
      <c r="A171" s="73"/>
      <c r="D171" s="323"/>
      <c r="E171" s="352"/>
      <c r="G171" s="10"/>
      <c r="H171" s="14"/>
      <c r="J171" s="10"/>
      <c r="K171" s="14"/>
      <c r="L171" s="12"/>
      <c r="M171" s="12"/>
      <c r="N171" s="36"/>
      <c r="O171" s="12"/>
      <c r="P171" s="12"/>
      <c r="Q171" s="36"/>
      <c r="R171" s="12"/>
      <c r="S171" s="52"/>
      <c r="T171" s="58"/>
      <c r="U171" s="52"/>
      <c r="V171" s="52"/>
      <c r="W171" s="58"/>
      <c r="X171" s="180"/>
      <c r="Y171" s="163"/>
      <c r="Z171" s="98"/>
      <c r="AA171" s="202"/>
      <c r="AB171" s="172"/>
      <c r="AC171" s="97"/>
      <c r="AF171" s="12"/>
      <c r="AG171" s="12"/>
      <c r="AX171" s="12"/>
      <c r="AY171" s="52"/>
      <c r="AZ171" s="58"/>
      <c r="BA171" s="58"/>
      <c r="BB171" s="58"/>
      <c r="BC171" s="58"/>
      <c r="BD171" s="58"/>
      <c r="BE171" s="12"/>
      <c r="BF171" s="52"/>
      <c r="BG171" s="58"/>
      <c r="BH171" s="65"/>
      <c r="BI171" s="65"/>
      <c r="BJ171" s="65"/>
      <c r="BK171" s="65"/>
      <c r="BL171" s="39"/>
      <c r="BM171" s="39"/>
      <c r="BN171" s="39"/>
      <c r="BO171" s="534"/>
      <c r="BP171" s="39">
        <f t="shared" si="165"/>
        <v>0</v>
      </c>
      <c r="BQ171" s="51"/>
      <c r="BR171" s="99" t="e">
        <f t="shared" si="166"/>
        <v>#DIV/0!</v>
      </c>
      <c r="BS171" s="30"/>
      <c r="BW171" s="280">
        <f t="shared" si="207"/>
        <v>0</v>
      </c>
      <c r="BX171" s="39">
        <f t="shared" si="179"/>
        <v>0</v>
      </c>
      <c r="BY171" s="51" t="e">
        <f t="shared" si="180"/>
        <v>#DIV/0!</v>
      </c>
    </row>
    <row r="172" spans="1:77" s="13" customFormat="1" ht="18" customHeight="1">
      <c r="A172" s="13" t="s">
        <v>398</v>
      </c>
      <c r="D172" s="323"/>
      <c r="E172" s="352"/>
      <c r="G172" s="10"/>
      <c r="H172" s="14"/>
      <c r="J172" s="10"/>
      <c r="K172" s="14"/>
      <c r="L172" s="12"/>
      <c r="M172" s="12"/>
      <c r="N172" s="36"/>
      <c r="O172" s="12"/>
      <c r="P172" s="12"/>
      <c r="Q172" s="36"/>
      <c r="R172" s="12"/>
      <c r="S172" s="52"/>
      <c r="T172" s="58"/>
      <c r="U172" s="52"/>
      <c r="V172" s="52"/>
      <c r="W172" s="58"/>
      <c r="X172" s="180"/>
      <c r="Y172" s="163"/>
      <c r="Z172" s="98"/>
      <c r="AA172" s="202"/>
      <c r="AB172" s="172"/>
      <c r="AC172" s="97"/>
      <c r="AF172" s="12"/>
      <c r="AG172" s="12"/>
      <c r="AX172" s="12"/>
      <c r="AY172" s="52"/>
      <c r="AZ172" s="58"/>
      <c r="BA172" s="58"/>
      <c r="BB172" s="58"/>
      <c r="BC172" s="58"/>
      <c r="BD172" s="58"/>
      <c r="BE172" s="12"/>
      <c r="BF172" s="52"/>
      <c r="BG172" s="58"/>
      <c r="BH172" s="65"/>
      <c r="BI172" s="65"/>
      <c r="BJ172" s="65"/>
      <c r="BK172" s="65"/>
      <c r="BL172" s="39"/>
      <c r="BM172" s="39"/>
      <c r="BN172" s="39"/>
      <c r="BO172" s="534"/>
      <c r="BP172" s="39">
        <f t="shared" si="165"/>
        <v>0</v>
      </c>
      <c r="BQ172" s="51"/>
      <c r="BR172" s="99" t="e">
        <f t="shared" si="166"/>
        <v>#DIV/0!</v>
      </c>
      <c r="BS172" s="30"/>
      <c r="BW172" s="280">
        <f t="shared" si="207"/>
        <v>0</v>
      </c>
      <c r="BX172" s="39">
        <f t="shared" si="179"/>
        <v>0</v>
      </c>
      <c r="BY172" s="51" t="e">
        <f t="shared" si="180"/>
        <v>#DIV/0!</v>
      </c>
    </row>
    <row r="173" spans="1:77" s="13" customFormat="1" ht="18" customHeight="1">
      <c r="A173" s="73" t="s">
        <v>189</v>
      </c>
      <c r="D173" s="323"/>
      <c r="E173" s="352"/>
      <c r="G173" s="10"/>
      <c r="H173" s="14"/>
      <c r="J173" s="10"/>
      <c r="K173" s="14"/>
      <c r="L173" s="12"/>
      <c r="M173" s="12"/>
      <c r="N173" s="36"/>
      <c r="O173" s="12"/>
      <c r="P173" s="12"/>
      <c r="Q173" s="36"/>
      <c r="R173" s="12"/>
      <c r="S173" s="52"/>
      <c r="T173" s="58"/>
      <c r="U173" s="52"/>
      <c r="V173" s="52"/>
      <c r="W173" s="58"/>
      <c r="X173" s="180"/>
      <c r="Y173" s="163"/>
      <c r="Z173" s="98"/>
      <c r="AA173" s="202"/>
      <c r="AB173" s="172"/>
      <c r="AC173" s="97"/>
      <c r="AF173" s="12"/>
      <c r="AG173" s="12"/>
      <c r="AX173" s="12"/>
      <c r="AY173" s="52"/>
      <c r="AZ173" s="58"/>
      <c r="BA173" s="58"/>
      <c r="BB173" s="58"/>
      <c r="BC173" s="58"/>
      <c r="BD173" s="58"/>
      <c r="BE173" s="12"/>
      <c r="BF173" s="52"/>
      <c r="BG173" s="58"/>
      <c r="BH173" s="65"/>
      <c r="BI173" s="65"/>
      <c r="BJ173" s="65"/>
      <c r="BK173" s="65"/>
      <c r="BL173" s="39"/>
      <c r="BM173" s="39"/>
      <c r="BN173" s="39"/>
      <c r="BO173" s="534"/>
      <c r="BP173" s="39">
        <f t="shared" si="165"/>
        <v>0</v>
      </c>
      <c r="BQ173" s="51"/>
      <c r="BR173" s="99" t="e">
        <f t="shared" si="166"/>
        <v>#DIV/0!</v>
      </c>
      <c r="BS173" s="30"/>
      <c r="BW173" s="280">
        <f t="shared" si="207"/>
        <v>0</v>
      </c>
      <c r="BX173" s="39">
        <f t="shared" si="179"/>
        <v>0</v>
      </c>
      <c r="BY173" s="51" t="e">
        <f t="shared" si="180"/>
        <v>#DIV/0!</v>
      </c>
    </row>
    <row r="174" spans="1:77" s="13" customFormat="1" ht="18" customHeight="1">
      <c r="A174" s="73" t="s">
        <v>193</v>
      </c>
      <c r="D174" s="323"/>
      <c r="E174" s="352"/>
      <c r="G174" s="10"/>
      <c r="H174" s="14"/>
      <c r="J174" s="10"/>
      <c r="K174" s="14"/>
      <c r="L174" s="12"/>
      <c r="M174" s="12"/>
      <c r="N174" s="36"/>
      <c r="O174" s="12"/>
      <c r="P174" s="12"/>
      <c r="Q174" s="36"/>
      <c r="R174" s="12"/>
      <c r="S174" s="52"/>
      <c r="T174" s="58"/>
      <c r="U174" s="52"/>
      <c r="V174" s="52"/>
      <c r="W174" s="58"/>
      <c r="X174" s="180"/>
      <c r="Y174" s="163"/>
      <c r="Z174" s="98"/>
      <c r="AA174" s="202"/>
      <c r="AB174" s="172"/>
      <c r="AC174" s="97"/>
      <c r="AF174" s="12"/>
      <c r="AG174" s="12"/>
      <c r="AX174" s="12"/>
      <c r="AY174" s="52"/>
      <c r="AZ174" s="58"/>
      <c r="BA174" s="58"/>
      <c r="BB174" s="58"/>
      <c r="BC174" s="58"/>
      <c r="BD174" s="58"/>
      <c r="BE174" s="12"/>
      <c r="BF174" s="52"/>
      <c r="BG174" s="58"/>
      <c r="BH174" s="65"/>
      <c r="BI174" s="65"/>
      <c r="BJ174" s="65"/>
      <c r="BK174" s="65"/>
      <c r="BL174" s="39"/>
      <c r="BM174" s="39"/>
      <c r="BN174" s="39"/>
      <c r="BO174" s="534"/>
      <c r="BP174" s="39">
        <f t="shared" si="165"/>
        <v>0</v>
      </c>
      <c r="BQ174" s="51"/>
      <c r="BR174" s="99" t="e">
        <f t="shared" si="166"/>
        <v>#DIV/0!</v>
      </c>
      <c r="BS174" s="30"/>
      <c r="BW174" s="280">
        <f t="shared" si="207"/>
        <v>0</v>
      </c>
      <c r="BX174" s="39">
        <f t="shared" si="179"/>
        <v>0</v>
      </c>
      <c r="BY174" s="51" t="e">
        <f t="shared" si="180"/>
        <v>#DIV/0!</v>
      </c>
    </row>
    <row r="175" spans="1:77" s="13" customFormat="1" ht="18" customHeight="1">
      <c r="A175" s="73" t="s">
        <v>195</v>
      </c>
      <c r="D175" s="323"/>
      <c r="E175" s="352"/>
      <c r="G175" s="10"/>
      <c r="H175" s="14"/>
      <c r="J175" s="10"/>
      <c r="K175" s="14"/>
      <c r="L175" s="12"/>
      <c r="M175" s="12"/>
      <c r="N175" s="36"/>
      <c r="O175" s="12"/>
      <c r="P175" s="12"/>
      <c r="Q175" s="36"/>
      <c r="R175" s="12"/>
      <c r="S175" s="52"/>
      <c r="T175" s="58"/>
      <c r="U175" s="52"/>
      <c r="V175" s="52"/>
      <c r="W175" s="58"/>
      <c r="X175" s="180"/>
      <c r="Y175" s="163"/>
      <c r="Z175" s="98"/>
      <c r="AA175" s="202"/>
      <c r="AB175" s="172"/>
      <c r="AC175" s="97"/>
      <c r="AF175" s="12"/>
      <c r="AG175" s="12"/>
      <c r="AX175" s="12"/>
      <c r="AY175" s="52"/>
      <c r="AZ175" s="58"/>
      <c r="BA175" s="58"/>
      <c r="BB175" s="58"/>
      <c r="BC175" s="58"/>
      <c r="BD175" s="58"/>
      <c r="BE175" s="12"/>
      <c r="BF175" s="52"/>
      <c r="BG175" s="58"/>
      <c r="BH175" s="65"/>
      <c r="BI175" s="65"/>
      <c r="BJ175" s="65"/>
      <c r="BK175" s="65"/>
      <c r="BL175" s="39"/>
      <c r="BM175" s="39"/>
      <c r="BN175" s="39"/>
      <c r="BO175" s="534"/>
      <c r="BP175" s="39">
        <f t="shared" si="165"/>
        <v>0</v>
      </c>
      <c r="BQ175" s="51"/>
      <c r="BR175" s="99" t="e">
        <f t="shared" si="166"/>
        <v>#DIV/0!</v>
      </c>
      <c r="BS175" s="30"/>
      <c r="BW175" s="280">
        <f t="shared" si="207"/>
        <v>0</v>
      </c>
      <c r="BX175" s="39">
        <f t="shared" si="179"/>
        <v>0</v>
      </c>
      <c r="BY175" s="51" t="e">
        <f t="shared" si="180"/>
        <v>#DIV/0!</v>
      </c>
    </row>
    <row r="176" spans="1:77" ht="18" customHeight="1">
      <c r="A176" s="73" t="s">
        <v>196</v>
      </c>
      <c r="D176" s="323"/>
      <c r="E176" s="352"/>
      <c r="G176" s="10"/>
      <c r="J176" s="10"/>
      <c r="L176" s="63"/>
      <c r="M176" s="63"/>
      <c r="N176" s="72"/>
      <c r="O176" s="63"/>
      <c r="P176" s="63"/>
      <c r="Q176" s="72"/>
      <c r="R176" s="52"/>
      <c r="S176" s="52"/>
      <c r="T176" s="58"/>
      <c r="U176" s="52"/>
      <c r="V176" s="52"/>
      <c r="W176" s="58"/>
      <c r="AB176" s="172"/>
      <c r="BH176" s="65"/>
      <c r="BI176" s="65"/>
      <c r="BJ176" s="65"/>
      <c r="BK176" s="65"/>
      <c r="BL176" s="39"/>
      <c r="BM176" s="39"/>
      <c r="BN176" s="39"/>
      <c r="BO176" s="534"/>
      <c r="BP176" s="39">
        <f t="shared" si="165"/>
        <v>0</v>
      </c>
      <c r="BQ176" s="51"/>
      <c r="BR176" s="99" t="e">
        <f t="shared" si="166"/>
        <v>#DIV/0!</v>
      </c>
      <c r="BW176" s="280">
        <f t="shared" si="207"/>
        <v>0</v>
      </c>
      <c r="BX176" s="39">
        <f t="shared" si="179"/>
        <v>0</v>
      </c>
      <c r="BY176" s="51" t="e">
        <f t="shared" si="180"/>
        <v>#DIV/0!</v>
      </c>
    </row>
    <row r="177" spans="1:77" ht="18" customHeight="1">
      <c r="A177" s="73"/>
      <c r="D177" s="323"/>
      <c r="E177" s="352"/>
      <c r="G177" s="10"/>
      <c r="J177" s="10"/>
      <c r="L177" s="63"/>
      <c r="M177" s="63"/>
      <c r="N177" s="72"/>
      <c r="O177" s="63"/>
      <c r="P177" s="63"/>
      <c r="Q177" s="72"/>
      <c r="R177" s="52"/>
      <c r="S177" s="52"/>
      <c r="T177" s="58"/>
      <c r="U177" s="52"/>
      <c r="V177" s="52"/>
      <c r="W177" s="58"/>
      <c r="AB177" s="172"/>
      <c r="BH177" s="65"/>
      <c r="BI177" s="65"/>
      <c r="BJ177" s="65"/>
      <c r="BK177" s="65"/>
      <c r="BL177" s="39"/>
      <c r="BM177" s="39"/>
      <c r="BN177" s="39"/>
      <c r="BO177" s="534"/>
      <c r="BP177" s="39">
        <f t="shared" si="165"/>
        <v>0</v>
      </c>
      <c r="BQ177" s="51"/>
      <c r="BR177" s="99" t="e">
        <f t="shared" si="166"/>
        <v>#DIV/0!</v>
      </c>
      <c r="BW177" s="280">
        <f t="shared" si="207"/>
        <v>0</v>
      </c>
      <c r="BX177" s="39">
        <f t="shared" si="179"/>
        <v>0</v>
      </c>
      <c r="BY177" s="51" t="e">
        <f t="shared" si="180"/>
        <v>#DIV/0!</v>
      </c>
    </row>
    <row r="178" spans="1:77" s="109" customFormat="1" ht="18" customHeight="1">
      <c r="A178" s="116" t="s">
        <v>30</v>
      </c>
      <c r="D178" s="354"/>
      <c r="E178" s="357"/>
      <c r="G178" s="358"/>
      <c r="H178" s="360"/>
      <c r="J178" s="358"/>
      <c r="K178" s="360"/>
      <c r="L178" s="105"/>
      <c r="M178" s="105"/>
      <c r="N178" s="117"/>
      <c r="O178" s="105"/>
      <c r="P178" s="105"/>
      <c r="Q178" s="117"/>
      <c r="R178" s="107"/>
      <c r="S178" s="107"/>
      <c r="T178" s="125"/>
      <c r="U178" s="107"/>
      <c r="V178" s="107"/>
      <c r="W178" s="125"/>
      <c r="X178" s="175"/>
      <c r="Y178" s="158"/>
      <c r="Z178" s="111"/>
      <c r="AA178" s="201"/>
      <c r="AB178" s="170"/>
      <c r="AC178" s="113"/>
      <c r="AF178" s="107"/>
      <c r="AG178" s="107"/>
      <c r="AX178" s="107"/>
      <c r="AY178" s="107"/>
      <c r="AZ178" s="125"/>
      <c r="BA178" s="125"/>
      <c r="BB178" s="125"/>
      <c r="BC178" s="125"/>
      <c r="BD178" s="125"/>
      <c r="BE178" s="107"/>
      <c r="BF178" s="107"/>
      <c r="BG178" s="125"/>
      <c r="BH178" s="110"/>
      <c r="BI178" s="110"/>
      <c r="BJ178" s="110"/>
      <c r="BK178" s="110"/>
      <c r="BL178" s="554"/>
      <c r="BM178" s="554"/>
      <c r="BN178" s="554"/>
      <c r="BO178" s="680"/>
      <c r="BP178" s="39">
        <f t="shared" si="165"/>
        <v>0</v>
      </c>
      <c r="BQ178" s="108"/>
      <c r="BR178" s="99" t="e">
        <f t="shared" si="166"/>
        <v>#DIV/0!</v>
      </c>
      <c r="BS178" s="554"/>
      <c r="BW178" s="298"/>
      <c r="BX178" s="554"/>
      <c r="BY178" s="108"/>
    </row>
    <row r="179" spans="1:77" s="79" customFormat="1" ht="17.25" customHeight="1">
      <c r="A179" s="59" t="s">
        <v>71</v>
      </c>
      <c r="B179" s="323">
        <v>0</v>
      </c>
      <c r="C179" s="323">
        <v>0</v>
      </c>
      <c r="D179" s="323">
        <f t="shared" si="143"/>
        <v>0</v>
      </c>
      <c r="E179" s="593" t="s">
        <v>78</v>
      </c>
      <c r="F179" s="582">
        <v>0</v>
      </c>
      <c r="G179" s="582">
        <f t="shared" si="145"/>
        <v>0</v>
      </c>
      <c r="H179" s="593" t="s">
        <v>78</v>
      </c>
      <c r="I179" s="582">
        <f>82134+6002</f>
        <v>88136</v>
      </c>
      <c r="J179" s="582">
        <f t="shared" si="147"/>
        <v>88136</v>
      </c>
      <c r="K179" s="593" t="s">
        <v>78</v>
      </c>
      <c r="L179" s="62">
        <v>96104</v>
      </c>
      <c r="M179" s="62">
        <v>7968</v>
      </c>
      <c r="N179" s="241">
        <v>9.0405736588908048E-2</v>
      </c>
      <c r="O179" s="62">
        <v>92175</v>
      </c>
      <c r="P179" s="62">
        <f>O179-L179</f>
        <v>-3929</v>
      </c>
      <c r="Q179" s="241">
        <f>P179/L179</f>
        <v>-4.088279364022309E-2</v>
      </c>
      <c r="R179" s="62">
        <v>100633</v>
      </c>
      <c r="S179" s="62">
        <f t="shared" ref="S179:S188" si="208">R179-O179</f>
        <v>8458</v>
      </c>
      <c r="T179" s="241">
        <f>S179/O179</f>
        <v>9.1760238676430697E-2</v>
      </c>
      <c r="U179" s="62">
        <v>113659</v>
      </c>
      <c r="V179" s="62">
        <f>U179-R179</f>
        <v>13026</v>
      </c>
      <c r="W179" s="241">
        <f>V179/R179</f>
        <v>0.12944064074408992</v>
      </c>
      <c r="X179" s="166">
        <v>129293</v>
      </c>
      <c r="Y179" s="62">
        <f t="shared" ref="Y179:Y188" si="209">X179-U179</f>
        <v>15634</v>
      </c>
      <c r="Z179" s="95">
        <f t="shared" ref="Z179:Z188" si="210">Y179/U179</f>
        <v>0.13755179968150344</v>
      </c>
      <c r="AA179" s="202">
        <v>137128</v>
      </c>
      <c r="AB179" s="583">
        <f t="shared" ref="AB179:AB188" si="211">AA179-X179</f>
        <v>7835</v>
      </c>
      <c r="AC179" s="584">
        <f t="shared" ref="AC179:AC188" si="212">AB179/X179</f>
        <v>6.0598794985033989E-2</v>
      </c>
      <c r="AD179" s="78">
        <v>116021</v>
      </c>
      <c r="AE179" s="78">
        <v>9101</v>
      </c>
      <c r="AF179" s="62">
        <v>119211</v>
      </c>
      <c r="AG179" s="62">
        <f t="shared" ref="AG179:AG188" si="213">AF179-AA179</f>
        <v>-17917</v>
      </c>
      <c r="AH179" s="241">
        <f t="shared" ref="AH179:AH188" si="214">AG179/AA179</f>
        <v>-0.13065894638585845</v>
      </c>
      <c r="AI179" s="78">
        <f>AF179-4322</f>
        <v>114889</v>
      </c>
      <c r="AJ179" s="78">
        <f>AF179-4322</f>
        <v>114889</v>
      </c>
      <c r="AK179" s="79">
        <v>125408</v>
      </c>
      <c r="AL179" s="136">
        <v>1000</v>
      </c>
      <c r="AM179" s="202">
        <f t="shared" ref="AM179:AM187" si="215">+AL179+AK179</f>
        <v>126408</v>
      </c>
      <c r="AN179" s="79">
        <v>94636</v>
      </c>
      <c r="AO179" s="79">
        <v>100123</v>
      </c>
      <c r="AP179" s="78"/>
      <c r="AQ179" s="537"/>
      <c r="AR179" s="78"/>
      <c r="AS179" s="62">
        <f>BB179+AR179</f>
        <v>103877.78606999999</v>
      </c>
      <c r="AT179" s="78">
        <f>AS179-AF179</f>
        <v>-15333.213930000013</v>
      </c>
      <c r="AU179" s="579">
        <f>AT179/AF179</f>
        <v>-0.12862247552658743</v>
      </c>
      <c r="AV179" s="78">
        <f t="shared" ref="AV179:AV188" si="216">+AS179-AF179</f>
        <v>-15333.213930000013</v>
      </c>
      <c r="AW179" s="579">
        <f t="shared" ref="AW179:AW188" si="217">+AV179/AF179</f>
        <v>-0.12862247552658743</v>
      </c>
      <c r="AX179" s="62">
        <f>101911</f>
        <v>101911</v>
      </c>
      <c r="AY179" s="62">
        <f t="shared" si="171"/>
        <v>-17300</v>
      </c>
      <c r="AZ179" s="241">
        <f t="shared" si="172"/>
        <v>-0.1451208361644479</v>
      </c>
      <c r="BA179" s="616">
        <f>96441.32886+7440.14456</f>
        <v>103881.47341999999</v>
      </c>
      <c r="BB179" s="616">
        <f>96441.32886+7436.45721</f>
        <v>103877.78606999999</v>
      </c>
      <c r="BC179" s="616">
        <f>BA179-BB179</f>
        <v>3.6873500000074273</v>
      </c>
      <c r="BD179" s="31">
        <f>BC179/BA179</f>
        <v>3.5495742201299129E-5</v>
      </c>
      <c r="BE179" s="62">
        <f>97219+5862</f>
        <v>103081</v>
      </c>
      <c r="BF179" s="62">
        <f t="shared" ref="BF179:BF185" si="218">BE179-AX179</f>
        <v>1170</v>
      </c>
      <c r="BG179" s="241">
        <f t="shared" ref="BG179:BG185" si="219">BF179/AX179</f>
        <v>1.1480605626478005E-2</v>
      </c>
      <c r="BH179" s="78"/>
      <c r="BI179" s="78"/>
      <c r="BJ179" s="78"/>
      <c r="BK179" s="78"/>
      <c r="BL179" s="487">
        <f>BE179+BH179+BI179+BJ179+BK179</f>
        <v>103081</v>
      </c>
      <c r="BM179" s="487">
        <f t="shared" ref="BM179:BM185" si="220">BL179-AS179</f>
        <v>-796.78606999998738</v>
      </c>
      <c r="BN179" s="487">
        <v>111153</v>
      </c>
      <c r="BO179" s="595">
        <v>111153</v>
      </c>
      <c r="BP179" s="39">
        <f t="shared" si="165"/>
        <v>8072</v>
      </c>
      <c r="BQ179" s="579">
        <f t="shared" ref="BQ179:BQ185" si="221">BM179/AS179</f>
        <v>-7.6704182881127073E-3</v>
      </c>
      <c r="BR179" s="99">
        <f t="shared" si="166"/>
        <v>7.8307350530165604E-2</v>
      </c>
      <c r="BS179" s="487"/>
      <c r="BT179" s="78"/>
      <c r="BU179" s="78"/>
      <c r="BV179" s="78"/>
      <c r="BW179" s="65">
        <f t="shared" ref="BW179:BW187" si="222">BN179+BS179+BT179+BU179+BV179</f>
        <v>111153</v>
      </c>
      <c r="BX179" s="39">
        <f t="shared" ref="BX179:BX196" si="223">BW179-BL179</f>
        <v>8072</v>
      </c>
      <c r="BY179" s="51">
        <f t="shared" ref="BY179:BY196" si="224">BX179/BL179</f>
        <v>7.8307350530165604E-2</v>
      </c>
    </row>
    <row r="180" spans="1:77" s="79" customFormat="1" ht="17.25" customHeight="1">
      <c r="A180" s="59" t="s">
        <v>117</v>
      </c>
      <c r="B180" s="323">
        <f>99624+5667</f>
        <v>105291</v>
      </c>
      <c r="C180" s="323">
        <f>96950+4814</f>
        <v>101764</v>
      </c>
      <c r="D180" s="323">
        <f t="shared" si="143"/>
        <v>-3527</v>
      </c>
      <c r="E180" s="352">
        <f t="shared" si="144"/>
        <v>-3.3497639874253263E-2</v>
      </c>
      <c r="F180" s="582">
        <f>117021+3342</f>
        <v>120363</v>
      </c>
      <c r="G180" s="582">
        <f t="shared" si="145"/>
        <v>18599</v>
      </c>
      <c r="H180" s="274">
        <f t="shared" si="146"/>
        <v>0.18276600762548642</v>
      </c>
      <c r="I180" s="582">
        <f>22890+811</f>
        <v>23701</v>
      </c>
      <c r="J180" s="582">
        <f t="shared" si="147"/>
        <v>-96662</v>
      </c>
      <c r="K180" s="274">
        <f t="shared" si="148"/>
        <v>-0.80308732750097622</v>
      </c>
      <c r="L180" s="62">
        <v>20788</v>
      </c>
      <c r="M180" s="62">
        <v>-2913</v>
      </c>
      <c r="N180" s="241">
        <v>-0.12290620648917767</v>
      </c>
      <c r="O180" s="62">
        <v>27768</v>
      </c>
      <c r="P180" s="62">
        <f t="shared" ref="P180:P187" si="225">O180-L180</f>
        <v>6980</v>
      </c>
      <c r="Q180" s="241">
        <f>P180/L180</f>
        <v>0.33577063690590725</v>
      </c>
      <c r="R180" s="62">
        <v>31703</v>
      </c>
      <c r="S180" s="62">
        <f t="shared" si="208"/>
        <v>3935</v>
      </c>
      <c r="T180" s="241">
        <f>S180/O180</f>
        <v>0.14170988187842121</v>
      </c>
      <c r="U180" s="62">
        <v>46818</v>
      </c>
      <c r="V180" s="62">
        <f t="shared" ref="V180:V188" si="226">U180-R180</f>
        <v>15115</v>
      </c>
      <c r="W180" s="588" t="s">
        <v>78</v>
      </c>
      <c r="X180" s="166">
        <v>136292</v>
      </c>
      <c r="Y180" s="62">
        <f t="shared" si="209"/>
        <v>89474</v>
      </c>
      <c r="Z180" s="95">
        <f t="shared" si="210"/>
        <v>1.9111025673886113</v>
      </c>
      <c r="AA180" s="202">
        <v>124067</v>
      </c>
      <c r="AB180" s="583">
        <f t="shared" si="211"/>
        <v>-12225</v>
      </c>
      <c r="AC180" s="584">
        <f t="shared" si="212"/>
        <v>-8.969712088750624E-2</v>
      </c>
      <c r="AD180" s="79">
        <v>43</v>
      </c>
      <c r="AE180" s="79">
        <f>13000+89889</f>
        <v>102889</v>
      </c>
      <c r="AF180" s="62">
        <v>106669</v>
      </c>
      <c r="AG180" s="62">
        <f t="shared" si="213"/>
        <v>-17398</v>
      </c>
      <c r="AH180" s="241">
        <f t="shared" si="214"/>
        <v>-0.14023068180902254</v>
      </c>
      <c r="AI180" s="78">
        <f>AF180+181</f>
        <v>106850</v>
      </c>
      <c r="AJ180" s="78">
        <f>AF180+6167</f>
        <v>112836</v>
      </c>
      <c r="AK180" s="79">
        <v>15</v>
      </c>
      <c r="AL180" s="136">
        <v>28</v>
      </c>
      <c r="AM180" s="202">
        <f t="shared" si="215"/>
        <v>43</v>
      </c>
      <c r="AN180" s="585">
        <v>0</v>
      </c>
      <c r="AO180" s="79">
        <v>95490</v>
      </c>
      <c r="AP180" s="78"/>
      <c r="AQ180" s="537"/>
      <c r="AR180" s="78"/>
      <c r="AS180" s="62">
        <f t="shared" ref="AS180:AS187" si="227">BB180+AR180</f>
        <v>97436.505439999994</v>
      </c>
      <c r="AT180" s="78">
        <f t="shared" ref="AT180:AT188" si="228">AS180-AF180</f>
        <v>-9232.4945600000065</v>
      </c>
      <c r="AU180" s="579">
        <f t="shared" ref="AU180:AU188" si="229">AT180/AF180</f>
        <v>-8.6552743158743464E-2</v>
      </c>
      <c r="AV180" s="78">
        <f t="shared" si="216"/>
        <v>-9232.4945600000065</v>
      </c>
      <c r="AW180" s="579">
        <f t="shared" si="217"/>
        <v>-8.6552743158743464E-2</v>
      </c>
      <c r="AX180" s="62">
        <f>93020+5795+2525</f>
        <v>101340</v>
      </c>
      <c r="AY180" s="62">
        <f t="shared" si="171"/>
        <v>-5329</v>
      </c>
      <c r="AZ180" s="241">
        <f t="shared" si="172"/>
        <v>-4.9958282162577694E-2</v>
      </c>
      <c r="BA180" s="616">
        <f>2940.21083+15000+79985.8562</f>
        <v>97926.067029999991</v>
      </c>
      <c r="BB180" s="616">
        <f>2936.64317+15000+79499.86227</f>
        <v>97436.505439999994</v>
      </c>
      <c r="BC180" s="616">
        <f t="shared" ref="BC180:BC187" si="230">BA180-BB180</f>
        <v>489.56158999999752</v>
      </c>
      <c r="BD180" s="31">
        <f t="shared" ref="BD180:BD187" si="231">BC180/BA180</f>
        <v>4.9992979892679512E-3</v>
      </c>
      <c r="BE180" s="62">
        <f>123994</f>
        <v>123994</v>
      </c>
      <c r="BF180" s="62">
        <f t="shared" si="218"/>
        <v>22654</v>
      </c>
      <c r="BG180" s="241">
        <f t="shared" si="219"/>
        <v>0.22354450365107559</v>
      </c>
      <c r="BH180" s="78"/>
      <c r="BI180" s="78"/>
      <c r="BJ180" s="78"/>
      <c r="BK180" s="78"/>
      <c r="BL180" s="487">
        <f t="shared" si="175"/>
        <v>123994</v>
      </c>
      <c r="BM180" s="487">
        <f t="shared" si="220"/>
        <v>26557.494560000006</v>
      </c>
      <c r="BN180" s="487">
        <f>70684+1360+50600</f>
        <v>122644</v>
      </c>
      <c r="BO180" s="595">
        <f>70623+1360+50600</f>
        <v>122583</v>
      </c>
      <c r="BP180" s="39">
        <f t="shared" si="165"/>
        <v>-1411</v>
      </c>
      <c r="BQ180" s="579">
        <f t="shared" si="221"/>
        <v>0.27256205915916937</v>
      </c>
      <c r="BR180" s="99">
        <f t="shared" si="166"/>
        <v>-1.1379582883042728E-2</v>
      </c>
      <c r="BS180" s="487"/>
      <c r="BT180" s="78"/>
      <c r="BU180" s="78"/>
      <c r="BV180" s="78"/>
      <c r="BW180" s="65">
        <f t="shared" si="222"/>
        <v>122644</v>
      </c>
      <c r="BX180" s="39">
        <f t="shared" si="223"/>
        <v>-1350</v>
      </c>
      <c r="BY180" s="51">
        <f t="shared" si="224"/>
        <v>-1.0887623594690065E-2</v>
      </c>
    </row>
    <row r="181" spans="1:77" s="79" customFormat="1" ht="17.25" customHeight="1">
      <c r="A181" s="59" t="s">
        <v>31</v>
      </c>
      <c r="B181" s="323">
        <f>19357+4979</f>
        <v>24336</v>
      </c>
      <c r="C181" s="323">
        <f>23967+3237</f>
        <v>27204</v>
      </c>
      <c r="D181" s="323">
        <f t="shared" si="143"/>
        <v>2868</v>
      </c>
      <c r="E181" s="352">
        <f t="shared" si="144"/>
        <v>0.11785009861932939</v>
      </c>
      <c r="F181" s="582">
        <f>28309+4263</f>
        <v>32572</v>
      </c>
      <c r="G181" s="582">
        <f t="shared" si="145"/>
        <v>5368</v>
      </c>
      <c r="H181" s="274">
        <f t="shared" si="146"/>
        <v>0.19732392295250697</v>
      </c>
      <c r="I181" s="582">
        <f>29789+5531</f>
        <v>35320</v>
      </c>
      <c r="J181" s="582">
        <f t="shared" si="147"/>
        <v>2748</v>
      </c>
      <c r="K181" s="274">
        <f t="shared" si="148"/>
        <v>8.4366940930860862E-2</v>
      </c>
      <c r="L181" s="62">
        <v>32984</v>
      </c>
      <c r="M181" s="62">
        <v>-2336</v>
      </c>
      <c r="N181" s="241">
        <v>-6.6138165345413363E-2</v>
      </c>
      <c r="O181" s="62">
        <v>37796</v>
      </c>
      <c r="P181" s="62">
        <f t="shared" si="225"/>
        <v>4812</v>
      </c>
      <c r="Q181" s="241">
        <f>P181/L181</f>
        <v>0.14588891583798205</v>
      </c>
      <c r="R181" s="62">
        <v>37418</v>
      </c>
      <c r="S181" s="62">
        <f t="shared" si="208"/>
        <v>-378</v>
      </c>
      <c r="T181" s="241">
        <f>S181/O181</f>
        <v>-1.0001058313049E-2</v>
      </c>
      <c r="U181" s="62">
        <v>37550</v>
      </c>
      <c r="V181" s="62">
        <f t="shared" si="226"/>
        <v>132</v>
      </c>
      <c r="W181" s="241">
        <f t="shared" ref="W181:W188" si="232">V181/R181</f>
        <v>3.5277139344700413E-3</v>
      </c>
      <c r="X181" s="166">
        <v>38668</v>
      </c>
      <c r="Y181" s="62">
        <f t="shared" si="209"/>
        <v>1118</v>
      </c>
      <c r="Z181" s="95">
        <f t="shared" si="210"/>
        <v>2.9773635153129162E-2</v>
      </c>
      <c r="AA181" s="202">
        <v>42952</v>
      </c>
      <c r="AB181" s="583">
        <f t="shared" si="211"/>
        <v>4284</v>
      </c>
      <c r="AC181" s="584">
        <f t="shared" si="212"/>
        <v>0.11078928312816799</v>
      </c>
      <c r="AD181" s="78">
        <v>26524</v>
      </c>
      <c r="AE181" s="78">
        <v>13762</v>
      </c>
      <c r="AF181" s="62">
        <v>36235</v>
      </c>
      <c r="AG181" s="62">
        <f t="shared" si="213"/>
        <v>-6717</v>
      </c>
      <c r="AH181" s="241">
        <f t="shared" si="214"/>
        <v>-0.15638387036692122</v>
      </c>
      <c r="AI181" s="78">
        <f>AF181-20</f>
        <v>36215</v>
      </c>
      <c r="AJ181" s="78">
        <f>AF181-1062</f>
        <v>35173</v>
      </c>
      <c r="AK181" s="79">
        <v>27794</v>
      </c>
      <c r="AL181" s="136"/>
      <c r="AM181" s="202">
        <f t="shared" si="215"/>
        <v>27794</v>
      </c>
      <c r="AN181" s="79">
        <v>24182</v>
      </c>
      <c r="AO181" s="79">
        <v>36476</v>
      </c>
      <c r="AP181" s="78"/>
      <c r="AQ181" s="78"/>
      <c r="AR181" s="78"/>
      <c r="AS181" s="62">
        <f t="shared" si="227"/>
        <v>34866.127999999997</v>
      </c>
      <c r="AT181" s="78">
        <f t="shared" si="228"/>
        <v>-1368.872000000003</v>
      </c>
      <c r="AU181" s="579">
        <f t="shared" si="229"/>
        <v>-3.7777618324824146E-2</v>
      </c>
      <c r="AV181" s="78">
        <f t="shared" si="216"/>
        <v>-1368.872000000003</v>
      </c>
      <c r="AW181" s="579">
        <f t="shared" si="217"/>
        <v>-3.7777618324824146E-2</v>
      </c>
      <c r="AX181" s="62">
        <f>35689+1500</f>
        <v>37189</v>
      </c>
      <c r="AY181" s="62">
        <f t="shared" si="171"/>
        <v>954</v>
      </c>
      <c r="AZ181" s="241">
        <f t="shared" si="172"/>
        <v>2.6328135780322892E-2</v>
      </c>
      <c r="BA181" s="616">
        <f>25801.49595+11820.53466</f>
        <v>37622.030610000002</v>
      </c>
      <c r="BB181" s="616">
        <f>23830.99093+11035.13707</f>
        <v>34866.127999999997</v>
      </c>
      <c r="BC181" s="616">
        <f t="shared" si="230"/>
        <v>2755.9026100000046</v>
      </c>
      <c r="BD181" s="31">
        <f t="shared" si="231"/>
        <v>7.3252362121769179E-2</v>
      </c>
      <c r="BE181" s="62">
        <f>24786+8280</f>
        <v>33066</v>
      </c>
      <c r="BF181" s="62">
        <f t="shared" si="218"/>
        <v>-4123</v>
      </c>
      <c r="BG181" s="241">
        <f t="shared" si="219"/>
        <v>-0.11086611632471967</v>
      </c>
      <c r="BH181" s="78"/>
      <c r="BI181" s="78"/>
      <c r="BJ181" s="78"/>
      <c r="BK181" s="78"/>
      <c r="BL181" s="487">
        <f t="shared" si="175"/>
        <v>33066</v>
      </c>
      <c r="BM181" s="487">
        <f t="shared" si="220"/>
        <v>-1800.127999999997</v>
      </c>
      <c r="BN181" s="487">
        <f>34060+2200</f>
        <v>36260</v>
      </c>
      <c r="BO181" s="595">
        <v>34060</v>
      </c>
      <c r="BP181" s="39">
        <f t="shared" si="165"/>
        <v>994</v>
      </c>
      <c r="BQ181" s="579">
        <f t="shared" si="221"/>
        <v>-5.1629707778276877E-2</v>
      </c>
      <c r="BR181" s="99">
        <f t="shared" si="166"/>
        <v>3.0061089941329461E-2</v>
      </c>
      <c r="BS181" s="487"/>
      <c r="BT181" s="78"/>
      <c r="BU181" s="78"/>
      <c r="BV181" s="78"/>
      <c r="BW181" s="65">
        <f t="shared" si="222"/>
        <v>36260</v>
      </c>
      <c r="BX181" s="39">
        <f t="shared" si="223"/>
        <v>3194</v>
      </c>
      <c r="BY181" s="51">
        <f t="shared" si="224"/>
        <v>9.6594689409060672E-2</v>
      </c>
    </row>
    <row r="182" spans="1:77" s="79" customFormat="1" ht="17.25" customHeight="1">
      <c r="A182" s="59" t="s">
        <v>118</v>
      </c>
      <c r="B182" s="585"/>
      <c r="C182" s="585"/>
      <c r="D182" s="323">
        <f t="shared" ref="D182:D242" si="233">C182-B182</f>
        <v>0</v>
      </c>
      <c r="E182" s="593" t="s">
        <v>78</v>
      </c>
      <c r="F182" s="585">
        <v>2707</v>
      </c>
      <c r="G182" s="582">
        <f t="shared" ref="G182:G242" si="234">F182-C182</f>
        <v>2707</v>
      </c>
      <c r="H182" s="593" t="s">
        <v>78</v>
      </c>
      <c r="I182" s="585">
        <v>2868</v>
      </c>
      <c r="J182" s="582">
        <f t="shared" ref="J182:J242" si="235">I182-F182</f>
        <v>161</v>
      </c>
      <c r="K182" s="593" t="s">
        <v>78</v>
      </c>
      <c r="L182" s="62">
        <v>1977</v>
      </c>
      <c r="M182" s="62">
        <v>0</v>
      </c>
      <c r="N182" s="588" t="s">
        <v>78</v>
      </c>
      <c r="O182" s="62">
        <v>4306</v>
      </c>
      <c r="P182" s="62">
        <f t="shared" si="225"/>
        <v>2329</v>
      </c>
      <c r="Q182" s="588" t="s">
        <v>78</v>
      </c>
      <c r="R182" s="62">
        <v>3004</v>
      </c>
      <c r="S182" s="62">
        <f t="shared" si="208"/>
        <v>-1302</v>
      </c>
      <c r="T182" s="588" t="s">
        <v>78</v>
      </c>
      <c r="U182" s="62">
        <v>26993</v>
      </c>
      <c r="V182" s="62">
        <f t="shared" si="226"/>
        <v>23989</v>
      </c>
      <c r="W182" s="588" t="s">
        <v>78</v>
      </c>
      <c r="X182" s="166">
        <v>37466</v>
      </c>
      <c r="Y182" s="62">
        <f t="shared" si="209"/>
        <v>10473</v>
      </c>
      <c r="Z182" s="95">
        <f t="shared" si="210"/>
        <v>0.38798947875375095</v>
      </c>
      <c r="AA182" s="202">
        <v>57732</v>
      </c>
      <c r="AB182" s="583">
        <f t="shared" si="211"/>
        <v>20266</v>
      </c>
      <c r="AC182" s="584">
        <f t="shared" si="212"/>
        <v>0.54091709816900657</v>
      </c>
      <c r="AD182" s="78">
        <v>17343</v>
      </c>
      <c r="AE182" s="78">
        <v>40205</v>
      </c>
      <c r="AF182" s="62">
        <v>46427</v>
      </c>
      <c r="AG182" s="62">
        <f t="shared" si="213"/>
        <v>-11305</v>
      </c>
      <c r="AH182" s="241">
        <f t="shared" si="214"/>
        <v>-0.1958186101295642</v>
      </c>
      <c r="AI182" s="78">
        <f>AF182-126</f>
        <v>46301</v>
      </c>
      <c r="AJ182" s="246">
        <f>AF182-1455</f>
        <v>44972</v>
      </c>
      <c r="AK182" s="245">
        <v>12630</v>
      </c>
      <c r="AL182" s="136">
        <v>6507</v>
      </c>
      <c r="AM182" s="202">
        <f t="shared" si="215"/>
        <v>19137</v>
      </c>
      <c r="AN182" s="585">
        <v>13925</v>
      </c>
      <c r="AO182" s="585">
        <v>50811</v>
      </c>
      <c r="AP182" s="537"/>
      <c r="AQ182" s="78"/>
      <c r="AR182" s="78"/>
      <c r="AS182" s="62">
        <f t="shared" si="227"/>
        <v>37410.08898</v>
      </c>
      <c r="AT182" s="78">
        <f t="shared" si="228"/>
        <v>-9016.9110199999996</v>
      </c>
      <c r="AU182" s="579">
        <f t="shared" si="229"/>
        <v>-0.19421696469726668</v>
      </c>
      <c r="AV182" s="78">
        <f t="shared" si="216"/>
        <v>-9016.9110199999996</v>
      </c>
      <c r="AW182" s="579">
        <f t="shared" si="217"/>
        <v>-0.19421696469726668</v>
      </c>
      <c r="AX182" s="202">
        <v>44577</v>
      </c>
      <c r="AY182" s="62">
        <f t="shared" si="171"/>
        <v>-1850</v>
      </c>
      <c r="AZ182" s="241">
        <f t="shared" si="172"/>
        <v>-3.9847502530854888E-2</v>
      </c>
      <c r="BA182" s="616">
        <f>12610.53748+30195.6168</f>
        <v>42806.154280000002</v>
      </c>
      <c r="BB182" s="616">
        <f>12321.16882+25088.92016</f>
        <v>37410.08898</v>
      </c>
      <c r="BC182" s="616">
        <f t="shared" si="230"/>
        <v>5396.065300000002</v>
      </c>
      <c r="BD182" s="31">
        <f t="shared" si="231"/>
        <v>0.12605816595211322</v>
      </c>
      <c r="BE182" s="202">
        <f>16157+34424</f>
        <v>50581</v>
      </c>
      <c r="BF182" s="62">
        <f t="shared" si="218"/>
        <v>6004</v>
      </c>
      <c r="BG182" s="241">
        <f t="shared" si="219"/>
        <v>0.13468829216860712</v>
      </c>
      <c r="BH182" s="78"/>
      <c r="BI182" s="78"/>
      <c r="BJ182" s="78"/>
      <c r="BK182" s="78"/>
      <c r="BL182" s="487">
        <f t="shared" si="175"/>
        <v>50581</v>
      </c>
      <c r="BM182" s="487">
        <f t="shared" si="220"/>
        <v>13170.91102</v>
      </c>
      <c r="BN182" s="487">
        <v>65433</v>
      </c>
      <c r="BO182" s="595">
        <v>65433</v>
      </c>
      <c r="BP182" s="39">
        <f t="shared" si="165"/>
        <v>14852</v>
      </c>
      <c r="BQ182" s="579">
        <f t="shared" si="221"/>
        <v>0.3520684226931769</v>
      </c>
      <c r="BR182" s="99">
        <f t="shared" si="166"/>
        <v>0.29362804215021449</v>
      </c>
      <c r="BS182" s="487"/>
      <c r="BT182" s="78"/>
      <c r="BU182" s="78"/>
      <c r="BV182" s="78"/>
      <c r="BW182" s="65">
        <f t="shared" si="222"/>
        <v>65433</v>
      </c>
      <c r="BX182" s="39">
        <f t="shared" si="223"/>
        <v>14852</v>
      </c>
      <c r="BY182" s="51">
        <f t="shared" si="224"/>
        <v>0.29362804215021449</v>
      </c>
    </row>
    <row r="183" spans="1:77" s="79" customFormat="1" ht="17.25" customHeight="1">
      <c r="A183" s="59" t="s">
        <v>32</v>
      </c>
      <c r="B183" s="323">
        <f>289+298</f>
        <v>587</v>
      </c>
      <c r="C183" s="323">
        <f>321+449</f>
        <v>770</v>
      </c>
      <c r="D183" s="323">
        <f t="shared" si="233"/>
        <v>183</v>
      </c>
      <c r="E183" s="352">
        <f t="shared" ref="E183:E242" si="236">(C183-B183)/B183</f>
        <v>0.31175468483816016</v>
      </c>
      <c r="F183" s="582">
        <f>536+421</f>
        <v>957</v>
      </c>
      <c r="G183" s="582">
        <f t="shared" si="234"/>
        <v>187</v>
      </c>
      <c r="H183" s="274">
        <f t="shared" ref="H183:H242" si="237">(F183-C183)/C183</f>
        <v>0.24285714285714285</v>
      </c>
      <c r="I183" s="582">
        <f>715+372</f>
        <v>1087</v>
      </c>
      <c r="J183" s="582">
        <f t="shared" si="235"/>
        <v>130</v>
      </c>
      <c r="K183" s="274">
        <f t="shared" ref="K183:K242" si="238">(I183-F183)/F183</f>
        <v>0.13584117032392895</v>
      </c>
      <c r="L183" s="62">
        <v>1221</v>
      </c>
      <c r="M183" s="62">
        <v>134</v>
      </c>
      <c r="N183" s="241">
        <v>0.12327506899724011</v>
      </c>
      <c r="O183" s="62">
        <v>1203</v>
      </c>
      <c r="P183" s="62">
        <f t="shared" si="225"/>
        <v>-18</v>
      </c>
      <c r="Q183" s="241">
        <f>P183/L183</f>
        <v>-1.4742014742014743E-2</v>
      </c>
      <c r="R183" s="62">
        <v>1149</v>
      </c>
      <c r="S183" s="62">
        <f t="shared" si="208"/>
        <v>-54</v>
      </c>
      <c r="T183" s="241">
        <f>S183/O183</f>
        <v>-4.488778054862843E-2</v>
      </c>
      <c r="U183" s="62">
        <v>1266</v>
      </c>
      <c r="V183" s="62">
        <f t="shared" si="226"/>
        <v>117</v>
      </c>
      <c r="W183" s="241">
        <f t="shared" si="232"/>
        <v>0.10182767624020887</v>
      </c>
      <c r="X183" s="166">
        <v>1620</v>
      </c>
      <c r="Y183" s="62">
        <f t="shared" si="209"/>
        <v>354</v>
      </c>
      <c r="Z183" s="95">
        <f t="shared" si="210"/>
        <v>0.27962085308056872</v>
      </c>
      <c r="AA183" s="202">
        <v>1927</v>
      </c>
      <c r="AB183" s="583">
        <f t="shared" si="211"/>
        <v>307</v>
      </c>
      <c r="AC183" s="584">
        <f t="shared" si="212"/>
        <v>0.18950617283950616</v>
      </c>
      <c r="AD183" s="78">
        <v>1213</v>
      </c>
      <c r="AE183" s="78">
        <v>656</v>
      </c>
      <c r="AF183" s="62">
        <v>1544</v>
      </c>
      <c r="AG183" s="62">
        <f t="shared" si="213"/>
        <v>-383</v>
      </c>
      <c r="AH183" s="241">
        <f t="shared" si="214"/>
        <v>-0.19875454073689672</v>
      </c>
      <c r="AI183" s="78">
        <f>AF183-100</f>
        <v>1444</v>
      </c>
      <c r="AJ183" s="246">
        <f>AF183-75</f>
        <v>1469</v>
      </c>
      <c r="AK183" s="245">
        <v>1366</v>
      </c>
      <c r="AL183" s="136">
        <v>5</v>
      </c>
      <c r="AM183" s="202">
        <f t="shared" si="215"/>
        <v>1371</v>
      </c>
      <c r="AN183" s="605">
        <v>1097</v>
      </c>
      <c r="AO183" s="585">
        <v>1634</v>
      </c>
      <c r="AP183" s="78"/>
      <c r="AQ183" s="78"/>
      <c r="AR183" s="78"/>
      <c r="AS183" s="62">
        <f t="shared" si="227"/>
        <v>1414.6360999999999</v>
      </c>
      <c r="AT183" s="78">
        <f t="shared" si="228"/>
        <v>-129.36390000000006</v>
      </c>
      <c r="AU183" s="579">
        <f t="shared" si="229"/>
        <v>-8.3784909326424906E-2</v>
      </c>
      <c r="AV183" s="78">
        <f t="shared" si="216"/>
        <v>-129.36390000000006</v>
      </c>
      <c r="AW183" s="579">
        <f t="shared" si="217"/>
        <v>-8.3784909326424906E-2</v>
      </c>
      <c r="AX183" s="202">
        <v>1590</v>
      </c>
      <c r="AY183" s="62">
        <f t="shared" si="171"/>
        <v>46</v>
      </c>
      <c r="AZ183" s="241">
        <f t="shared" si="172"/>
        <v>2.9792746113989636E-2</v>
      </c>
      <c r="BA183" s="616">
        <f>1078.39087+511.19958</f>
        <v>1589.5904499999999</v>
      </c>
      <c r="BB183" s="616">
        <f>1049.25103+365.38507</f>
        <v>1414.6360999999999</v>
      </c>
      <c r="BC183" s="616">
        <f t="shared" si="230"/>
        <v>174.95434999999998</v>
      </c>
      <c r="BD183" s="31">
        <f t="shared" si="231"/>
        <v>0.11006253214467915</v>
      </c>
      <c r="BE183" s="202">
        <f>1069+511</f>
        <v>1580</v>
      </c>
      <c r="BF183" s="62">
        <f t="shared" si="218"/>
        <v>-10</v>
      </c>
      <c r="BG183" s="241">
        <f t="shared" si="219"/>
        <v>-6.2893081761006293E-3</v>
      </c>
      <c r="BH183" s="78"/>
      <c r="BI183" s="78"/>
      <c r="BJ183" s="78"/>
      <c r="BK183" s="78"/>
      <c r="BL183" s="487">
        <f t="shared" si="175"/>
        <v>1580</v>
      </c>
      <c r="BM183" s="487">
        <f t="shared" si="220"/>
        <v>165.36390000000006</v>
      </c>
      <c r="BN183" s="487">
        <v>1607</v>
      </c>
      <c r="BO183" s="595">
        <v>1607</v>
      </c>
      <c r="BP183" s="39">
        <f t="shared" si="165"/>
        <v>27</v>
      </c>
      <c r="BQ183" s="579">
        <f t="shared" si="221"/>
        <v>0.11689500925361658</v>
      </c>
      <c r="BR183" s="99">
        <f t="shared" si="166"/>
        <v>1.708860759493671E-2</v>
      </c>
      <c r="BS183" s="595"/>
      <c r="BT183" s="78"/>
      <c r="BU183" s="78"/>
      <c r="BV183" s="78"/>
      <c r="BW183" s="65">
        <f t="shared" si="222"/>
        <v>1607</v>
      </c>
      <c r="BX183" s="39">
        <f t="shared" si="223"/>
        <v>27</v>
      </c>
      <c r="BY183" s="51">
        <f t="shared" si="224"/>
        <v>1.708860759493671E-2</v>
      </c>
    </row>
    <row r="184" spans="1:77" ht="17.25" customHeight="1">
      <c r="A184" s="57" t="s">
        <v>33</v>
      </c>
      <c r="B184" s="322">
        <v>81</v>
      </c>
      <c r="C184" s="322">
        <v>82</v>
      </c>
      <c r="D184" s="323">
        <f t="shared" si="233"/>
        <v>1</v>
      </c>
      <c r="E184" s="352">
        <f t="shared" si="236"/>
        <v>1.2345679012345678E-2</v>
      </c>
      <c r="F184" s="10">
        <v>83</v>
      </c>
      <c r="G184" s="10">
        <f t="shared" si="234"/>
        <v>1</v>
      </c>
      <c r="H184" s="14">
        <f t="shared" si="237"/>
        <v>1.2195121951219513E-2</v>
      </c>
      <c r="I184" s="10">
        <v>90</v>
      </c>
      <c r="J184" s="10">
        <f t="shared" si="235"/>
        <v>7</v>
      </c>
      <c r="K184" s="14">
        <f t="shared" si="238"/>
        <v>8.4337349397590355E-2</v>
      </c>
      <c r="L184" s="52">
        <v>92</v>
      </c>
      <c r="M184" s="52">
        <v>2</v>
      </c>
      <c r="N184" s="58">
        <v>2.2222222222222223E-2</v>
      </c>
      <c r="O184" s="52">
        <v>95</v>
      </c>
      <c r="P184" s="52">
        <f t="shared" si="225"/>
        <v>3</v>
      </c>
      <c r="Q184" s="58">
        <f>P184/L184</f>
        <v>3.2608695652173912E-2</v>
      </c>
      <c r="R184" s="52">
        <v>110</v>
      </c>
      <c r="S184" s="52">
        <f t="shared" si="208"/>
        <v>15</v>
      </c>
      <c r="T184" s="58">
        <f>S184/O184</f>
        <v>0.15789473684210525</v>
      </c>
      <c r="U184" s="52">
        <v>110</v>
      </c>
      <c r="V184" s="52">
        <f t="shared" si="226"/>
        <v>0</v>
      </c>
      <c r="W184" s="58">
        <f t="shared" si="232"/>
        <v>0</v>
      </c>
      <c r="X184" s="166">
        <v>113</v>
      </c>
      <c r="Y184" s="52">
        <f t="shared" si="209"/>
        <v>3</v>
      </c>
      <c r="Z184" s="95">
        <f t="shared" si="210"/>
        <v>2.7272727272727271E-2</v>
      </c>
      <c r="AA184" s="202">
        <v>113</v>
      </c>
      <c r="AB184" s="172">
        <f t="shared" si="211"/>
        <v>0</v>
      </c>
      <c r="AC184" s="100">
        <f t="shared" si="212"/>
        <v>0</v>
      </c>
      <c r="AD184" s="219">
        <v>123</v>
      </c>
      <c r="AE184" s="219"/>
      <c r="AF184" s="52">
        <v>123</v>
      </c>
      <c r="AG184" s="52">
        <f t="shared" si="213"/>
        <v>10</v>
      </c>
      <c r="AH184" s="58">
        <f t="shared" si="214"/>
        <v>8.8495575221238937E-2</v>
      </c>
      <c r="AI184" s="65">
        <f>AF184</f>
        <v>123</v>
      </c>
      <c r="AJ184" s="246">
        <f>AF184</f>
        <v>123</v>
      </c>
      <c r="AK184" s="245">
        <v>126</v>
      </c>
      <c r="AL184" s="136"/>
      <c r="AM184" s="256">
        <f t="shared" si="215"/>
        <v>126</v>
      </c>
      <c r="AN184" s="220">
        <v>123</v>
      </c>
      <c r="AO184" s="220">
        <v>0</v>
      </c>
      <c r="AP184" s="219">
        <v>0</v>
      </c>
      <c r="AQ184" s="219">
        <v>0</v>
      </c>
      <c r="AR184" s="65">
        <f t="shared" ref="AR184:AR188" si="239">AP184+AQ184</f>
        <v>0</v>
      </c>
      <c r="AS184" s="62">
        <f t="shared" si="227"/>
        <v>123</v>
      </c>
      <c r="AT184" s="65">
        <f t="shared" si="228"/>
        <v>0</v>
      </c>
      <c r="AU184" s="51">
        <f t="shared" si="229"/>
        <v>0</v>
      </c>
      <c r="AV184" s="65">
        <f t="shared" si="216"/>
        <v>0</v>
      </c>
      <c r="AW184" s="51">
        <f t="shared" si="217"/>
        <v>0</v>
      </c>
      <c r="AX184" s="256">
        <v>123</v>
      </c>
      <c r="AY184" s="52">
        <f t="shared" si="171"/>
        <v>0</v>
      </c>
      <c r="AZ184" s="58">
        <f t="shared" si="172"/>
        <v>0</v>
      </c>
      <c r="BA184" s="616">
        <v>123</v>
      </c>
      <c r="BB184" s="616">
        <v>123</v>
      </c>
      <c r="BC184" s="616">
        <f t="shared" si="230"/>
        <v>0</v>
      </c>
      <c r="BD184" s="31">
        <f t="shared" si="231"/>
        <v>0</v>
      </c>
      <c r="BE184" s="256">
        <v>126</v>
      </c>
      <c r="BF184" s="52">
        <f t="shared" si="218"/>
        <v>3</v>
      </c>
      <c r="BG184" s="58">
        <f t="shared" si="219"/>
        <v>2.4390243902439025E-2</v>
      </c>
      <c r="BH184" s="65"/>
      <c r="BI184" s="65"/>
      <c r="BJ184" s="65"/>
      <c r="BK184" s="65"/>
      <c r="BL184" s="39">
        <f t="shared" si="175"/>
        <v>126</v>
      </c>
      <c r="BM184" s="39">
        <f t="shared" si="220"/>
        <v>3</v>
      </c>
      <c r="BN184" s="39">
        <v>126</v>
      </c>
      <c r="BO184" s="534">
        <v>126</v>
      </c>
      <c r="BP184" s="39">
        <f t="shared" si="165"/>
        <v>0</v>
      </c>
      <c r="BQ184" s="51">
        <f t="shared" si="221"/>
        <v>2.4390243902439025E-2</v>
      </c>
      <c r="BR184" s="99">
        <f t="shared" si="166"/>
        <v>0</v>
      </c>
      <c r="BT184" s="65"/>
      <c r="BU184" s="65"/>
      <c r="BV184" s="65"/>
      <c r="BW184" s="65">
        <f t="shared" si="222"/>
        <v>126</v>
      </c>
      <c r="BX184" s="39">
        <f t="shared" si="223"/>
        <v>0</v>
      </c>
      <c r="BY184" s="51">
        <f t="shared" si="224"/>
        <v>0</v>
      </c>
    </row>
    <row r="185" spans="1:77" ht="17.25" customHeight="1">
      <c r="A185" s="57" t="s">
        <v>34</v>
      </c>
      <c r="B185" s="322">
        <v>135531</v>
      </c>
      <c r="C185" s="322">
        <v>163073</v>
      </c>
      <c r="D185" s="323">
        <f t="shared" si="233"/>
        <v>27542</v>
      </c>
      <c r="E185" s="352">
        <f t="shared" si="236"/>
        <v>0.2032155005127978</v>
      </c>
      <c r="F185" s="10">
        <v>148493</v>
      </c>
      <c r="G185" s="10">
        <f t="shared" si="234"/>
        <v>-14580</v>
      </c>
      <c r="H185" s="14">
        <f t="shared" si="237"/>
        <v>-8.9407811225647407E-2</v>
      </c>
      <c r="I185" s="10">
        <v>154531</v>
      </c>
      <c r="J185" s="10">
        <f t="shared" si="235"/>
        <v>6038</v>
      </c>
      <c r="K185" s="14">
        <f t="shared" si="238"/>
        <v>4.0661849380105461E-2</v>
      </c>
      <c r="L185" s="52">
        <v>159122</v>
      </c>
      <c r="M185" s="52">
        <v>4591</v>
      </c>
      <c r="N185" s="58">
        <v>2.9709249276844128E-2</v>
      </c>
      <c r="O185" s="52">
        <v>165303</v>
      </c>
      <c r="P185" s="52">
        <f t="shared" si="225"/>
        <v>6181</v>
      </c>
      <c r="Q185" s="58">
        <f>P185/L185</f>
        <v>3.8844408692701199E-2</v>
      </c>
      <c r="R185" s="52">
        <v>187615</v>
      </c>
      <c r="S185" s="52">
        <f t="shared" si="208"/>
        <v>22312</v>
      </c>
      <c r="T185" s="58">
        <f>S185/O185</f>
        <v>0.1349763767142762</v>
      </c>
      <c r="U185" s="52">
        <v>198484</v>
      </c>
      <c r="V185" s="52">
        <f t="shared" si="226"/>
        <v>10869</v>
      </c>
      <c r="W185" s="58">
        <f t="shared" si="232"/>
        <v>5.7932468086240439E-2</v>
      </c>
      <c r="X185" s="166">
        <v>214905</v>
      </c>
      <c r="Y185" s="52">
        <f t="shared" si="209"/>
        <v>16421</v>
      </c>
      <c r="Z185" s="95">
        <f t="shared" si="210"/>
        <v>8.2732109389169903E-2</v>
      </c>
      <c r="AA185" s="202">
        <v>230499</v>
      </c>
      <c r="AB185" s="172">
        <f t="shared" si="211"/>
        <v>15594</v>
      </c>
      <c r="AC185" s="100">
        <f t="shared" si="212"/>
        <v>7.2562294967543794E-2</v>
      </c>
      <c r="AD185" s="65">
        <v>231668</v>
      </c>
      <c r="AE185" s="65">
        <v>12000</v>
      </c>
      <c r="AF185" s="52">
        <v>243668</v>
      </c>
      <c r="AG185" s="52">
        <f t="shared" si="213"/>
        <v>13169</v>
      </c>
      <c r="AH185" s="58">
        <f t="shared" si="214"/>
        <v>5.7132568904854249E-2</v>
      </c>
      <c r="AI185" s="65">
        <f>AF185</f>
        <v>243668</v>
      </c>
      <c r="AJ185" s="246">
        <f>AF185</f>
        <v>243668</v>
      </c>
      <c r="AK185" s="245">
        <v>237998</v>
      </c>
      <c r="AL185" s="136"/>
      <c r="AM185" s="256">
        <f t="shared" si="215"/>
        <v>237998</v>
      </c>
      <c r="AN185" s="220">
        <v>233268</v>
      </c>
      <c r="AO185" s="220">
        <v>245268</v>
      </c>
      <c r="AP185" s="219">
        <v>0</v>
      </c>
      <c r="AQ185" s="219">
        <v>0</v>
      </c>
      <c r="AR185" s="65">
        <f t="shared" si="239"/>
        <v>0</v>
      </c>
      <c r="AS185" s="62">
        <f t="shared" si="227"/>
        <v>0</v>
      </c>
      <c r="AT185" s="65">
        <f t="shared" si="228"/>
        <v>-243668</v>
      </c>
      <c r="AU185" s="51">
        <f t="shared" si="229"/>
        <v>-1</v>
      </c>
      <c r="AV185" s="65">
        <f t="shared" si="216"/>
        <v>-243668</v>
      </c>
      <c r="AW185" s="51">
        <f t="shared" si="217"/>
        <v>-1</v>
      </c>
      <c r="AX185" s="256">
        <v>257703</v>
      </c>
      <c r="AY185" s="52">
        <f t="shared" si="171"/>
        <v>14035</v>
      </c>
      <c r="AZ185" s="58">
        <f t="shared" si="172"/>
        <v>5.7598864028103811E-2</v>
      </c>
      <c r="BC185" s="616">
        <f t="shared" si="230"/>
        <v>0</v>
      </c>
      <c r="BD185" s="31"/>
      <c r="BE185" s="256">
        <f>218088</f>
        <v>218088</v>
      </c>
      <c r="BF185" s="52">
        <f t="shared" si="218"/>
        <v>-39615</v>
      </c>
      <c r="BG185" s="58">
        <f t="shared" si="219"/>
        <v>-0.15372347236935541</v>
      </c>
      <c r="BH185" s="65"/>
      <c r="BI185" s="65"/>
      <c r="BJ185" s="65"/>
      <c r="BK185" s="65"/>
      <c r="BL185" s="39">
        <f t="shared" si="175"/>
        <v>218088</v>
      </c>
      <c r="BM185" s="39">
        <f t="shared" si="220"/>
        <v>218088</v>
      </c>
      <c r="BN185" s="534">
        <f>288224-50600</f>
        <v>237624</v>
      </c>
      <c r="BO185" s="534">
        <f>286937-50600</f>
        <v>236337</v>
      </c>
      <c r="BP185" s="39">
        <f t="shared" si="165"/>
        <v>18249</v>
      </c>
      <c r="BQ185" s="51" t="e">
        <f t="shared" si="221"/>
        <v>#DIV/0!</v>
      </c>
      <c r="BR185" s="99">
        <f t="shared" si="166"/>
        <v>8.3677231209420055E-2</v>
      </c>
      <c r="BT185" s="65"/>
      <c r="BU185" s="65"/>
      <c r="BV185" s="65"/>
      <c r="BW185" s="65">
        <f t="shared" si="222"/>
        <v>237624</v>
      </c>
      <c r="BX185" s="39">
        <f t="shared" si="223"/>
        <v>19536</v>
      </c>
      <c r="BY185" s="51">
        <f t="shared" si="224"/>
        <v>8.9578518763068118E-2</v>
      </c>
    </row>
    <row r="186" spans="1:77" ht="17.25" customHeight="1">
      <c r="A186" s="620" t="s">
        <v>420</v>
      </c>
      <c r="B186" s="322"/>
      <c r="C186" s="322"/>
      <c r="D186" s="323"/>
      <c r="E186" s="352"/>
      <c r="F186" s="10"/>
      <c r="G186" s="10"/>
      <c r="I186" s="10"/>
      <c r="J186" s="10"/>
      <c r="L186" s="52"/>
      <c r="M186" s="52"/>
      <c r="N186" s="58"/>
      <c r="O186" s="52"/>
      <c r="P186" s="52"/>
      <c r="Q186" s="58"/>
      <c r="R186" s="52"/>
      <c r="S186" s="52"/>
      <c r="T186" s="58"/>
      <c r="U186" s="52"/>
      <c r="V186" s="52"/>
      <c r="W186" s="58"/>
      <c r="Y186" s="52"/>
      <c r="AB186" s="172"/>
      <c r="AD186" s="65"/>
      <c r="AE186" s="65"/>
      <c r="AH186" s="58"/>
      <c r="AI186" s="65"/>
      <c r="AJ186" s="246"/>
      <c r="AK186" s="245"/>
      <c r="AL186" s="136"/>
      <c r="AM186" s="256"/>
      <c r="AN186" s="220"/>
      <c r="AO186" s="220"/>
      <c r="AP186" s="219"/>
      <c r="AQ186" s="219"/>
      <c r="AR186" s="65"/>
      <c r="AS186" s="62">
        <f t="shared" si="227"/>
        <v>257703.03400000001</v>
      </c>
      <c r="AT186" s="65"/>
      <c r="AU186" s="51"/>
      <c r="AV186" s="65"/>
      <c r="AW186" s="51"/>
      <c r="AX186" s="256"/>
      <c r="BA186" s="617">
        <f>245703.034+12000</f>
        <v>257703.03400000001</v>
      </c>
      <c r="BB186" s="617">
        <f>245703.034+12000</f>
        <v>257703.03400000001</v>
      </c>
      <c r="BC186" s="616">
        <f t="shared" si="230"/>
        <v>0</v>
      </c>
      <c r="BD186" s="31">
        <f t="shared" si="231"/>
        <v>0</v>
      </c>
      <c r="BE186" s="256"/>
      <c r="BH186" s="65"/>
      <c r="BI186" s="65"/>
      <c r="BJ186" s="65"/>
      <c r="BK186" s="65"/>
      <c r="BL186" s="39"/>
      <c r="BM186" s="39"/>
      <c r="BN186" s="39"/>
      <c r="BO186" s="534"/>
      <c r="BP186" s="39">
        <f t="shared" si="165"/>
        <v>0</v>
      </c>
      <c r="BQ186" s="51"/>
      <c r="BR186" s="99" t="e">
        <f t="shared" si="166"/>
        <v>#DIV/0!</v>
      </c>
      <c r="BT186" s="65"/>
      <c r="BU186" s="65"/>
      <c r="BV186" s="65"/>
      <c r="BW186" s="65">
        <f t="shared" si="222"/>
        <v>0</v>
      </c>
      <c r="BX186" s="39">
        <f t="shared" si="223"/>
        <v>0</v>
      </c>
      <c r="BY186" s="51" t="e">
        <f t="shared" si="224"/>
        <v>#DIV/0!</v>
      </c>
    </row>
    <row r="187" spans="1:77" s="54" customFormat="1" ht="17.25" customHeight="1" thickBot="1">
      <c r="A187" s="82" t="s">
        <v>35</v>
      </c>
      <c r="B187" s="328">
        <v>3050</v>
      </c>
      <c r="C187" s="328">
        <v>2973</v>
      </c>
      <c r="D187" s="355">
        <f t="shared" si="233"/>
        <v>-77</v>
      </c>
      <c r="E187" s="362">
        <f t="shared" si="236"/>
        <v>-2.5245901639344263E-2</v>
      </c>
      <c r="F187" s="350">
        <v>2894</v>
      </c>
      <c r="G187" s="350">
        <f t="shared" si="234"/>
        <v>-79</v>
      </c>
      <c r="H187" s="16">
        <f t="shared" si="237"/>
        <v>-2.6572485704675412E-2</v>
      </c>
      <c r="I187" s="350">
        <v>3803</v>
      </c>
      <c r="J187" s="350">
        <f t="shared" si="235"/>
        <v>909</v>
      </c>
      <c r="K187" s="16">
        <f t="shared" si="238"/>
        <v>0.3140981340704907</v>
      </c>
      <c r="L187" s="75">
        <v>4309</v>
      </c>
      <c r="M187" s="75">
        <v>506</v>
      </c>
      <c r="N187" s="77">
        <v>0.13305285301078096</v>
      </c>
      <c r="O187" s="75">
        <v>4657</v>
      </c>
      <c r="P187" s="75">
        <f t="shared" si="225"/>
        <v>348</v>
      </c>
      <c r="Q187" s="77">
        <f>P187/L187</f>
        <v>8.0761197493618014E-2</v>
      </c>
      <c r="R187" s="75">
        <v>5169</v>
      </c>
      <c r="S187" s="75">
        <f t="shared" si="208"/>
        <v>512</v>
      </c>
      <c r="T187" s="77">
        <f>S187/O187</f>
        <v>0.1099420227614344</v>
      </c>
      <c r="U187" s="75">
        <v>5092</v>
      </c>
      <c r="V187" s="75">
        <f t="shared" si="226"/>
        <v>-77</v>
      </c>
      <c r="W187" s="77">
        <f t="shared" si="232"/>
        <v>-1.489649835558135E-2</v>
      </c>
      <c r="X187" s="177">
        <v>5420</v>
      </c>
      <c r="Y187" s="75">
        <f t="shared" si="209"/>
        <v>328</v>
      </c>
      <c r="Z187" s="126">
        <f t="shared" si="210"/>
        <v>6.4414768263943434E-2</v>
      </c>
      <c r="AA187" s="206">
        <v>7866</v>
      </c>
      <c r="AB187" s="174">
        <f t="shared" si="211"/>
        <v>2446</v>
      </c>
      <c r="AC187" s="128">
        <f t="shared" si="212"/>
        <v>0.45129151291512914</v>
      </c>
      <c r="AD187" s="94">
        <v>7668</v>
      </c>
      <c r="AE187" s="94"/>
      <c r="AF187" s="75">
        <v>6326</v>
      </c>
      <c r="AG187" s="75">
        <f t="shared" si="213"/>
        <v>-1540</v>
      </c>
      <c r="AH187" s="77">
        <f t="shared" si="214"/>
        <v>-0.19577930333079074</v>
      </c>
      <c r="AI187" s="94">
        <f>AF187-460</f>
        <v>5866</v>
      </c>
      <c r="AJ187" s="80">
        <f>AF187-460</f>
        <v>5866</v>
      </c>
      <c r="AK187" s="54">
        <v>7668</v>
      </c>
      <c r="AL187" s="136"/>
      <c r="AM187" s="256">
        <f t="shared" si="215"/>
        <v>7668</v>
      </c>
      <c r="AN187" s="54">
        <v>6058</v>
      </c>
      <c r="AO187" s="220">
        <v>6058</v>
      </c>
      <c r="AP187" s="94">
        <v>0</v>
      </c>
      <c r="AQ187" s="94">
        <v>0</v>
      </c>
      <c r="AR187" s="65">
        <f t="shared" si="239"/>
        <v>0</v>
      </c>
      <c r="AS187" s="62">
        <f t="shared" si="227"/>
        <v>6007.3223399999997</v>
      </c>
      <c r="AT187" s="65">
        <f t="shared" si="228"/>
        <v>-318.67766000000029</v>
      </c>
      <c r="AU187" s="51">
        <f t="shared" si="229"/>
        <v>-5.0375855200758816E-2</v>
      </c>
      <c r="AV187" s="65">
        <f t="shared" si="216"/>
        <v>-318.67766000000029</v>
      </c>
      <c r="AW187" s="51">
        <f t="shared" si="217"/>
        <v>-5.0375855200758816E-2</v>
      </c>
      <c r="AX187" s="75">
        <v>6058</v>
      </c>
      <c r="AY187" s="75">
        <f t="shared" si="171"/>
        <v>-268</v>
      </c>
      <c r="AZ187" s="77">
        <f t="shared" si="172"/>
        <v>-4.2364843503003478E-2</v>
      </c>
      <c r="BA187" s="616">
        <v>6058</v>
      </c>
      <c r="BB187" s="616">
        <v>6007.3223399999997</v>
      </c>
      <c r="BC187" s="616">
        <f t="shared" si="230"/>
        <v>50.677660000000287</v>
      </c>
      <c r="BD187" s="31">
        <f t="shared" si="231"/>
        <v>8.3654110267415462E-3</v>
      </c>
      <c r="BE187" s="75">
        <v>0</v>
      </c>
      <c r="BF187" s="75">
        <f>BE187-AX187</f>
        <v>-6058</v>
      </c>
      <c r="BG187" s="77">
        <f>BF187/AX187</f>
        <v>-1</v>
      </c>
      <c r="BH187" s="94"/>
      <c r="BI187" s="94"/>
      <c r="BJ187" s="94"/>
      <c r="BK187" s="94"/>
      <c r="BL187" s="102">
        <f t="shared" si="175"/>
        <v>0</v>
      </c>
      <c r="BM187" s="102">
        <f>BL187-AS187</f>
        <v>-6007.3223399999997</v>
      </c>
      <c r="BN187" s="102">
        <v>0</v>
      </c>
      <c r="BO187" s="535"/>
      <c r="BP187" s="39">
        <f t="shared" si="165"/>
        <v>0</v>
      </c>
      <c r="BQ187" s="55">
        <f>BM187/AS187</f>
        <v>-1</v>
      </c>
      <c r="BR187" s="99" t="e">
        <f t="shared" si="166"/>
        <v>#DIV/0!</v>
      </c>
      <c r="BS187" s="102"/>
      <c r="BT187" s="94"/>
      <c r="BU187" s="94"/>
      <c r="BV187" s="94"/>
      <c r="BW187" s="65">
        <f t="shared" si="222"/>
        <v>0</v>
      </c>
      <c r="BX187" s="39">
        <f t="shared" si="223"/>
        <v>0</v>
      </c>
      <c r="BY187" s="51" t="e">
        <f t="shared" si="224"/>
        <v>#DIV/0!</v>
      </c>
    </row>
    <row r="188" spans="1:77" s="20" customFormat="1" ht="18" customHeight="1">
      <c r="A188" s="85" t="s">
        <v>61</v>
      </c>
      <c r="B188" s="136">
        <f t="shared" ref="B188:I188" si="240">SUM(B179:B187)</f>
        <v>268876</v>
      </c>
      <c r="C188" s="136">
        <f t="shared" si="240"/>
        <v>295866</v>
      </c>
      <c r="D188" s="25">
        <f t="shared" si="233"/>
        <v>26990</v>
      </c>
      <c r="E188" s="359">
        <f t="shared" si="236"/>
        <v>0.10038084470164686</v>
      </c>
      <c r="F188" s="136">
        <f t="shared" si="240"/>
        <v>308069</v>
      </c>
      <c r="G188" s="12">
        <f t="shared" si="234"/>
        <v>12203</v>
      </c>
      <c r="H188" s="15">
        <f t="shared" si="237"/>
        <v>4.1245023084774866E-2</v>
      </c>
      <c r="I188" s="136">
        <f t="shared" si="240"/>
        <v>309536</v>
      </c>
      <c r="J188" s="12">
        <f t="shared" si="235"/>
        <v>1467</v>
      </c>
      <c r="K188" s="15">
        <f t="shared" si="238"/>
        <v>4.7619202191716793E-3</v>
      </c>
      <c r="L188" s="136">
        <f>SUM(L179:L187)</f>
        <v>316597</v>
      </c>
      <c r="M188" s="136">
        <v>7952</v>
      </c>
      <c r="N188" s="137">
        <v>2.5930322042078079E-2</v>
      </c>
      <c r="O188" s="136">
        <f>SUM(O179:O187)+68000+4300</f>
        <v>405603</v>
      </c>
      <c r="P188" s="136">
        <f>O188-L188</f>
        <v>89006</v>
      </c>
      <c r="Q188" s="137">
        <f>P188/L188</f>
        <v>0.28113342830159477</v>
      </c>
      <c r="R188" s="136">
        <f>SUM(R179:R187)</f>
        <v>366801</v>
      </c>
      <c r="S188" s="136">
        <f t="shared" si="208"/>
        <v>-38802</v>
      </c>
      <c r="T188" s="137">
        <f>S188/O188</f>
        <v>-9.5664972892212333E-2</v>
      </c>
      <c r="U188" s="136">
        <f>SUM(U179:U187)</f>
        <v>429972</v>
      </c>
      <c r="V188" s="136">
        <f t="shared" si="226"/>
        <v>63171</v>
      </c>
      <c r="W188" s="137">
        <f t="shared" si="232"/>
        <v>0.17222144977794498</v>
      </c>
      <c r="X188" s="182">
        <f>SUM(X179:X187)</f>
        <v>563777</v>
      </c>
      <c r="Y188" s="136">
        <f t="shared" si="209"/>
        <v>133805</v>
      </c>
      <c r="Z188" s="98">
        <f t="shared" si="210"/>
        <v>0.31119468244443826</v>
      </c>
      <c r="AA188" s="136">
        <f>SUM(AA179:AA187)</f>
        <v>602284</v>
      </c>
      <c r="AB188" s="171">
        <f t="shared" si="211"/>
        <v>38507</v>
      </c>
      <c r="AC188" s="140">
        <f t="shared" si="212"/>
        <v>6.8301828559873851E-2</v>
      </c>
      <c r="AD188" s="139">
        <f>SUM(AD179:AD187)</f>
        <v>400603</v>
      </c>
      <c r="AE188" s="139">
        <f>SUM(AE179:AE187)</f>
        <v>178613</v>
      </c>
      <c r="AF188" s="136">
        <f>SUM(AF179:AF187)</f>
        <v>560203</v>
      </c>
      <c r="AG188" s="12">
        <f t="shared" si="213"/>
        <v>-42081</v>
      </c>
      <c r="AH188" s="36">
        <f t="shared" si="214"/>
        <v>-6.9869031885289992E-2</v>
      </c>
      <c r="AI188" s="139">
        <f t="shared" ref="AI188:AN188" si="241">SUM(AI179:AI187)</f>
        <v>555356</v>
      </c>
      <c r="AJ188" s="139">
        <f t="shared" si="241"/>
        <v>558996</v>
      </c>
      <c r="AK188" s="139">
        <f t="shared" si="241"/>
        <v>413005</v>
      </c>
      <c r="AL188" s="139">
        <f t="shared" si="241"/>
        <v>7540</v>
      </c>
      <c r="AM188" s="12">
        <f t="shared" si="241"/>
        <v>420545</v>
      </c>
      <c r="AN188" s="12">
        <f t="shared" si="241"/>
        <v>373289</v>
      </c>
      <c r="AO188" s="20">
        <f t="shared" ref="AO188:AQ188" si="242">SUM(AO179:AO187)</f>
        <v>535860</v>
      </c>
      <c r="AP188" s="139">
        <f t="shared" si="242"/>
        <v>0</v>
      </c>
      <c r="AQ188" s="139">
        <f t="shared" si="242"/>
        <v>0</v>
      </c>
      <c r="AR188" s="539">
        <f t="shared" si="239"/>
        <v>0</v>
      </c>
      <c r="AS188" s="65">
        <f>BB188+AR188</f>
        <v>538838.50092999998</v>
      </c>
      <c r="AT188" s="539">
        <f t="shared" si="228"/>
        <v>-21364.49907000002</v>
      </c>
      <c r="AU188" s="543">
        <f t="shared" si="229"/>
        <v>-3.8137066509818796E-2</v>
      </c>
      <c r="AV188" s="20">
        <f t="shared" si="216"/>
        <v>-21364.49907000002</v>
      </c>
      <c r="AW188" s="264">
        <f t="shared" si="217"/>
        <v>-3.8137066509818796E-2</v>
      </c>
      <c r="AX188" s="136">
        <f>SUM(AX179:AX187)</f>
        <v>550491</v>
      </c>
      <c r="AY188" s="52">
        <f t="shared" si="171"/>
        <v>-9712</v>
      </c>
      <c r="AZ188" s="58">
        <f t="shared" si="172"/>
        <v>-1.7336572635276853E-2</v>
      </c>
      <c r="BA188" s="58"/>
      <c r="BB188" s="65">
        <f>SUM(BB179:BB187)</f>
        <v>538838.50092999998</v>
      </c>
      <c r="BC188" s="58"/>
      <c r="BD188" s="58"/>
      <c r="BE188" s="136">
        <f>SUM(BE179:BE187)</f>
        <v>530516</v>
      </c>
      <c r="BF188" s="52">
        <f>BE188-AX188</f>
        <v>-19975</v>
      </c>
      <c r="BG188" s="58">
        <f>BF188/AX188</f>
        <v>-3.6285788505170835E-2</v>
      </c>
      <c r="BH188" s="65">
        <f>SUM(BH179:BH187)</f>
        <v>0</v>
      </c>
      <c r="BI188" s="65"/>
      <c r="BJ188" s="65"/>
      <c r="BK188" s="65">
        <f>SUM(BK179:BK187)</f>
        <v>0</v>
      </c>
      <c r="BL188" s="39">
        <f t="shared" si="175"/>
        <v>530516</v>
      </c>
      <c r="BM188" s="39">
        <f>BL188-AS188</f>
        <v>-8322.5009299999801</v>
      </c>
      <c r="BN188" s="30">
        <f>SUM(BN179:BN187)</f>
        <v>574847</v>
      </c>
      <c r="BO188" s="30">
        <f>SUM(BO179:BO187)</f>
        <v>571299</v>
      </c>
      <c r="BP188" s="39">
        <f t="shared" si="165"/>
        <v>40783</v>
      </c>
      <c r="BQ188" s="51">
        <f>BM188/AS188</f>
        <v>-1.5445260343564702E-2</v>
      </c>
      <c r="BR188" s="99">
        <f t="shared" si="166"/>
        <v>7.6874213030332733E-2</v>
      </c>
      <c r="BS188" s="138"/>
      <c r="BW188" s="338">
        <f>BW179+BW180+BW181+BW182+BW183+BW184+BW185</f>
        <v>574847</v>
      </c>
      <c r="BX188" s="636">
        <f t="shared" si="223"/>
        <v>44331</v>
      </c>
      <c r="BY188" s="543">
        <f t="shared" si="224"/>
        <v>8.3562041484139968E-2</v>
      </c>
    </row>
    <row r="189" spans="1:77" s="20" customFormat="1" ht="18" customHeight="1">
      <c r="A189" s="85"/>
      <c r="D189" s="323"/>
      <c r="E189" s="352"/>
      <c r="G189" s="10"/>
      <c r="H189" s="14"/>
      <c r="J189" s="10"/>
      <c r="K189" s="14"/>
      <c r="L189" s="136"/>
      <c r="M189" s="136"/>
      <c r="N189" s="137"/>
      <c r="O189" s="136"/>
      <c r="P189" s="136"/>
      <c r="Q189" s="137"/>
      <c r="R189" s="136"/>
      <c r="S189" s="136"/>
      <c r="T189" s="137"/>
      <c r="U189" s="136"/>
      <c r="V189" s="136"/>
      <c r="W189" s="137"/>
      <c r="X189" s="182"/>
      <c r="Y189" s="136"/>
      <c r="Z189" s="98"/>
      <c r="AA189" s="136"/>
      <c r="AB189" s="171"/>
      <c r="AC189" s="140"/>
      <c r="AD189" s="139"/>
      <c r="AE189" s="139"/>
      <c r="AF189" s="136"/>
      <c r="AG189" s="52"/>
      <c r="AH189" s="58"/>
      <c r="AI189" s="139"/>
      <c r="AJ189" s="139"/>
      <c r="AK189" s="139"/>
      <c r="AL189" s="139"/>
      <c r="AM189" s="256"/>
      <c r="AN189" s="256"/>
      <c r="AT189" s="139"/>
      <c r="AU189" s="51"/>
      <c r="AW189" s="264"/>
      <c r="AX189" s="136"/>
      <c r="AY189" s="52"/>
      <c r="AZ189" s="58"/>
      <c r="BA189" s="58"/>
      <c r="BB189" s="58"/>
      <c r="BC189" s="58"/>
      <c r="BD189" s="58"/>
      <c r="BE189" s="136"/>
      <c r="BF189" s="52"/>
      <c r="BG189" s="58"/>
      <c r="BH189" s="65"/>
      <c r="BI189" s="65"/>
      <c r="BJ189" s="65"/>
      <c r="BK189" s="65"/>
      <c r="BL189" s="39"/>
      <c r="BM189" s="39"/>
      <c r="BN189" s="39"/>
      <c r="BO189" s="534"/>
      <c r="BP189" s="39">
        <f t="shared" si="165"/>
        <v>0</v>
      </c>
      <c r="BQ189" s="51"/>
      <c r="BR189" s="99" t="e">
        <f t="shared" si="166"/>
        <v>#DIV/0!</v>
      </c>
      <c r="BS189" s="138"/>
      <c r="BW189" s="280">
        <f t="shared" ref="BW189:BW196" si="243">BN189+BS189+BT189+BU189+BV189</f>
        <v>0</v>
      </c>
      <c r="BX189" s="39">
        <f t="shared" si="223"/>
        <v>0</v>
      </c>
      <c r="BY189" s="51" t="e">
        <f t="shared" si="224"/>
        <v>#DIV/0!</v>
      </c>
    </row>
    <row r="190" spans="1:77" s="20" customFormat="1" ht="18" customHeight="1">
      <c r="A190" s="85"/>
      <c r="D190" s="323"/>
      <c r="E190" s="352"/>
      <c r="G190" s="10"/>
      <c r="H190" s="14"/>
      <c r="J190" s="10"/>
      <c r="K190" s="14"/>
      <c r="L190" s="136"/>
      <c r="M190" s="136"/>
      <c r="N190" s="137"/>
      <c r="O190" s="136"/>
      <c r="P190" s="136"/>
      <c r="Q190" s="137"/>
      <c r="R190" s="136"/>
      <c r="S190" s="136"/>
      <c r="T190" s="137"/>
      <c r="U190" s="136"/>
      <c r="V190" s="136"/>
      <c r="W190" s="137"/>
      <c r="X190" s="182"/>
      <c r="Y190" s="136"/>
      <c r="Z190" s="98"/>
      <c r="AA190" s="136"/>
      <c r="AB190" s="171"/>
      <c r="AC190" s="140"/>
      <c r="AD190" s="139"/>
      <c r="AE190" s="139"/>
      <c r="AF190" s="136"/>
      <c r="AG190" s="52"/>
      <c r="AH190" s="58"/>
      <c r="AI190" s="139"/>
      <c r="AJ190" s="139"/>
      <c r="AK190" s="139"/>
      <c r="AL190" s="139"/>
      <c r="AM190" s="256"/>
      <c r="AN190" s="256"/>
      <c r="AT190" s="139"/>
      <c r="AU190" s="51"/>
      <c r="AV190" s="139">
        <f>AS190-AF188</f>
        <v>-560203</v>
      </c>
      <c r="AW190" s="264">
        <f>AV190/AF188</f>
        <v>-1</v>
      </c>
      <c r="AX190" s="136"/>
      <c r="AY190" s="52"/>
      <c r="AZ190" s="58"/>
      <c r="BA190" s="58"/>
      <c r="BB190" s="58"/>
      <c r="BC190" s="58"/>
      <c r="BD190" s="58"/>
      <c r="BE190" s="136"/>
      <c r="BF190" s="52"/>
      <c r="BG190" s="58"/>
      <c r="BH190" s="65"/>
      <c r="BI190" s="65"/>
      <c r="BJ190" s="65"/>
      <c r="BK190" s="65"/>
      <c r="BL190" s="39"/>
      <c r="BM190" s="39"/>
      <c r="BN190" s="39"/>
      <c r="BO190" s="534"/>
      <c r="BP190" s="39">
        <f t="shared" si="165"/>
        <v>0</v>
      </c>
      <c r="BQ190" s="51"/>
      <c r="BR190" s="99" t="e">
        <f t="shared" si="166"/>
        <v>#DIV/0!</v>
      </c>
      <c r="BS190" s="138"/>
      <c r="BW190" s="280">
        <f t="shared" si="243"/>
        <v>0</v>
      </c>
      <c r="BX190" s="39">
        <f t="shared" si="223"/>
        <v>0</v>
      </c>
      <c r="BY190" s="51" t="e">
        <f t="shared" si="224"/>
        <v>#DIV/0!</v>
      </c>
    </row>
    <row r="191" spans="1:77" ht="18" customHeight="1">
      <c r="A191" s="64"/>
      <c r="D191" s="323"/>
      <c r="E191" s="352"/>
      <c r="G191" s="10"/>
      <c r="J191" s="10"/>
      <c r="N191" s="58"/>
      <c r="Q191" s="58"/>
      <c r="R191" s="52"/>
      <c r="S191" s="52"/>
      <c r="T191" s="58"/>
      <c r="U191" s="52"/>
      <c r="V191" s="52"/>
      <c r="W191" s="58"/>
      <c r="AB191" s="172"/>
      <c r="AT191" s="220"/>
      <c r="BH191" s="65"/>
      <c r="BI191" s="65"/>
      <c r="BJ191" s="65"/>
      <c r="BK191" s="65"/>
      <c r="BL191" s="39"/>
      <c r="BM191" s="39"/>
      <c r="BN191" s="39"/>
      <c r="BO191" s="534"/>
      <c r="BP191" s="39">
        <f t="shared" si="165"/>
        <v>0</v>
      </c>
      <c r="BQ191" s="51"/>
      <c r="BR191" s="99" t="e">
        <f t="shared" si="166"/>
        <v>#DIV/0!</v>
      </c>
      <c r="BW191" s="280">
        <f t="shared" si="243"/>
        <v>0</v>
      </c>
      <c r="BX191" s="39">
        <f t="shared" si="223"/>
        <v>0</v>
      </c>
      <c r="BY191" s="51" t="e">
        <f t="shared" si="224"/>
        <v>#DIV/0!</v>
      </c>
    </row>
    <row r="192" spans="1:77" ht="18" customHeight="1">
      <c r="A192" s="73" t="s">
        <v>104</v>
      </c>
      <c r="D192" s="323"/>
      <c r="E192" s="352"/>
      <c r="G192" s="10"/>
      <c r="J192" s="10"/>
      <c r="N192" s="58"/>
      <c r="Q192" s="58"/>
      <c r="R192" s="52"/>
      <c r="S192" s="52"/>
      <c r="T192" s="58"/>
      <c r="U192" s="52"/>
      <c r="V192" s="52"/>
      <c r="W192" s="58"/>
      <c r="AB192" s="172"/>
      <c r="AT192" s="220"/>
      <c r="BH192" s="65"/>
      <c r="BI192" s="65"/>
      <c r="BJ192" s="65"/>
      <c r="BK192" s="65"/>
      <c r="BL192" s="39"/>
      <c r="BM192" s="39"/>
      <c r="BN192" s="39"/>
      <c r="BO192" s="534"/>
      <c r="BP192" s="39">
        <f t="shared" si="165"/>
        <v>0</v>
      </c>
      <c r="BQ192" s="51"/>
      <c r="BR192" s="99" t="e">
        <f t="shared" si="166"/>
        <v>#DIV/0!</v>
      </c>
      <c r="BW192" s="280">
        <f t="shared" si="243"/>
        <v>0</v>
      </c>
      <c r="BX192" s="39">
        <f t="shared" si="223"/>
        <v>0</v>
      </c>
      <c r="BY192" s="51" t="e">
        <f t="shared" si="224"/>
        <v>#DIV/0!</v>
      </c>
    </row>
    <row r="193" spans="1:77" ht="18" customHeight="1">
      <c r="A193" s="83" t="s">
        <v>119</v>
      </c>
      <c r="D193" s="323"/>
      <c r="E193" s="352"/>
      <c r="G193" s="10"/>
      <c r="J193" s="10"/>
      <c r="N193" s="58"/>
      <c r="Q193" s="58"/>
      <c r="R193" s="52"/>
      <c r="S193" s="52"/>
      <c r="T193" s="58"/>
      <c r="U193" s="52"/>
      <c r="V193" s="52"/>
      <c r="W193" s="58"/>
      <c r="AB193" s="172"/>
      <c r="AT193" s="219"/>
      <c r="AU193" s="287"/>
      <c r="BH193" s="65"/>
      <c r="BI193" s="65"/>
      <c r="BJ193" s="65"/>
      <c r="BK193" s="65"/>
      <c r="BL193" s="39"/>
      <c r="BM193" s="39"/>
      <c r="BN193" s="39"/>
      <c r="BO193" s="534"/>
      <c r="BP193" s="39">
        <f t="shared" si="165"/>
        <v>0</v>
      </c>
      <c r="BQ193" s="51"/>
      <c r="BR193" s="99" t="e">
        <f t="shared" si="166"/>
        <v>#DIV/0!</v>
      </c>
      <c r="BW193" s="280">
        <f t="shared" si="243"/>
        <v>0</v>
      </c>
      <c r="BX193" s="39">
        <f t="shared" si="223"/>
        <v>0</v>
      </c>
      <c r="BY193" s="51" t="e">
        <f t="shared" si="224"/>
        <v>#DIV/0!</v>
      </c>
    </row>
    <row r="194" spans="1:77" ht="18" customHeight="1">
      <c r="A194" s="73" t="s">
        <v>123</v>
      </c>
      <c r="D194" s="323"/>
      <c r="E194" s="352"/>
      <c r="G194" s="10"/>
      <c r="J194" s="10"/>
      <c r="N194" s="58"/>
      <c r="Q194" s="58"/>
      <c r="R194" s="52"/>
      <c r="S194" s="52"/>
      <c r="T194" s="58"/>
      <c r="U194" s="52"/>
      <c r="V194" s="52"/>
      <c r="W194" s="58"/>
      <c r="AB194" s="172"/>
      <c r="BH194" s="65"/>
      <c r="BI194" s="65"/>
      <c r="BJ194" s="65"/>
      <c r="BK194" s="65"/>
      <c r="BL194" s="39"/>
      <c r="BM194" s="39"/>
      <c r="BN194" s="39"/>
      <c r="BO194" s="534"/>
      <c r="BP194" s="39">
        <f t="shared" si="165"/>
        <v>0</v>
      </c>
      <c r="BQ194" s="51"/>
      <c r="BR194" s="99" t="e">
        <f t="shared" si="166"/>
        <v>#DIV/0!</v>
      </c>
      <c r="BW194" s="280">
        <f t="shared" si="243"/>
        <v>0</v>
      </c>
      <c r="BX194" s="39">
        <f t="shared" si="223"/>
        <v>0</v>
      </c>
      <c r="BY194" s="51" t="e">
        <f t="shared" si="224"/>
        <v>#DIV/0!</v>
      </c>
    </row>
    <row r="195" spans="1:77" ht="18" customHeight="1">
      <c r="A195" s="73" t="s">
        <v>241</v>
      </c>
      <c r="D195" s="323"/>
      <c r="E195" s="352"/>
      <c r="G195" s="10"/>
      <c r="J195" s="10"/>
      <c r="N195" s="58"/>
      <c r="Q195" s="58"/>
      <c r="R195" s="52"/>
      <c r="S195" s="52"/>
      <c r="T195" s="58"/>
      <c r="U195" s="52"/>
      <c r="V195" s="52"/>
      <c r="W195" s="58"/>
      <c r="AB195" s="172"/>
      <c r="BH195" s="65"/>
      <c r="BI195" s="65"/>
      <c r="BJ195" s="65"/>
      <c r="BK195" s="65"/>
      <c r="BL195" s="39"/>
      <c r="BM195" s="39"/>
      <c r="BN195" s="39"/>
      <c r="BO195" s="534"/>
      <c r="BP195" s="39">
        <f t="shared" si="165"/>
        <v>0</v>
      </c>
      <c r="BQ195" s="51"/>
      <c r="BR195" s="99" t="e">
        <f t="shared" si="166"/>
        <v>#DIV/0!</v>
      </c>
      <c r="BW195" s="280">
        <f t="shared" si="243"/>
        <v>0</v>
      </c>
      <c r="BX195" s="39">
        <f t="shared" si="223"/>
        <v>0</v>
      </c>
      <c r="BY195" s="51" t="e">
        <f t="shared" si="224"/>
        <v>#DIV/0!</v>
      </c>
    </row>
    <row r="196" spans="1:77" ht="18" customHeight="1">
      <c r="D196" s="323"/>
      <c r="E196" s="352"/>
      <c r="G196" s="10"/>
      <c r="J196" s="10"/>
      <c r="L196" s="63"/>
      <c r="M196" s="63"/>
      <c r="N196" s="72"/>
      <c r="O196" s="63"/>
      <c r="P196" s="63"/>
      <c r="Q196" s="72"/>
      <c r="R196" s="52"/>
      <c r="S196" s="52"/>
      <c r="T196" s="58"/>
      <c r="U196" s="52"/>
      <c r="V196" s="52"/>
      <c r="W196" s="58"/>
      <c r="AB196" s="172"/>
      <c r="BH196" s="65"/>
      <c r="BI196" s="65"/>
      <c r="BJ196" s="65"/>
      <c r="BK196" s="65"/>
      <c r="BL196" s="39"/>
      <c r="BM196" s="39"/>
      <c r="BN196" s="39"/>
      <c r="BO196" s="534"/>
      <c r="BP196" s="39">
        <f t="shared" si="165"/>
        <v>0</v>
      </c>
      <c r="BQ196" s="51"/>
      <c r="BR196" s="99" t="e">
        <f t="shared" si="166"/>
        <v>#DIV/0!</v>
      </c>
      <c r="BW196" s="280">
        <f t="shared" si="243"/>
        <v>0</v>
      </c>
      <c r="BX196" s="39">
        <f t="shared" si="223"/>
        <v>0</v>
      </c>
      <c r="BY196" s="51" t="e">
        <f t="shared" si="224"/>
        <v>#DIV/0!</v>
      </c>
    </row>
    <row r="197" spans="1:77" s="109" customFormat="1" ht="18" customHeight="1">
      <c r="A197" s="116" t="s">
        <v>198</v>
      </c>
      <c r="D197" s="354"/>
      <c r="E197" s="357"/>
      <c r="G197" s="358"/>
      <c r="H197" s="360"/>
      <c r="J197" s="358"/>
      <c r="K197" s="360"/>
      <c r="L197" s="105"/>
      <c r="M197" s="105"/>
      <c r="N197" s="117"/>
      <c r="O197" s="105"/>
      <c r="P197" s="105"/>
      <c r="Q197" s="117"/>
      <c r="R197" s="107"/>
      <c r="S197" s="107"/>
      <c r="T197" s="125"/>
      <c r="U197" s="107"/>
      <c r="V197" s="107"/>
      <c r="W197" s="125"/>
      <c r="X197" s="175"/>
      <c r="Y197" s="158"/>
      <c r="Z197" s="111"/>
      <c r="AA197" s="201"/>
      <c r="AB197" s="170"/>
      <c r="AC197" s="113"/>
      <c r="AF197" s="107"/>
      <c r="AG197" s="107"/>
      <c r="AX197" s="107"/>
      <c r="AY197" s="107"/>
      <c r="AZ197" s="125"/>
      <c r="BA197" s="125"/>
      <c r="BB197" s="125"/>
      <c r="BC197" s="125"/>
      <c r="BD197" s="125"/>
      <c r="BE197" s="107"/>
      <c r="BF197" s="107"/>
      <c r="BG197" s="125"/>
      <c r="BH197" s="110"/>
      <c r="BI197" s="110"/>
      <c r="BJ197" s="110"/>
      <c r="BK197" s="110"/>
      <c r="BL197" s="554"/>
      <c r="BM197" s="554"/>
      <c r="BN197" s="554"/>
      <c r="BO197" s="680"/>
      <c r="BP197" s="39">
        <f t="shared" si="165"/>
        <v>0</v>
      </c>
      <c r="BQ197" s="108"/>
      <c r="BR197" s="99" t="e">
        <f t="shared" si="166"/>
        <v>#DIV/0!</v>
      </c>
      <c r="BS197" s="554"/>
      <c r="BW197" s="298"/>
      <c r="BX197" s="554"/>
      <c r="BY197" s="108"/>
    </row>
    <row r="198" spans="1:77" ht="18" customHeight="1">
      <c r="A198" s="57" t="s">
        <v>36</v>
      </c>
      <c r="B198" s="322">
        <v>315656</v>
      </c>
      <c r="C198" s="322">
        <v>228364</v>
      </c>
      <c r="D198" s="323">
        <f t="shared" si="233"/>
        <v>-87292</v>
      </c>
      <c r="E198" s="352">
        <f t="shared" si="236"/>
        <v>-0.27654155156246041</v>
      </c>
      <c r="F198" s="10">
        <v>233251</v>
      </c>
      <c r="G198" s="10">
        <f t="shared" si="234"/>
        <v>4887</v>
      </c>
      <c r="H198" s="14">
        <f t="shared" si="237"/>
        <v>2.1400045541328756E-2</v>
      </c>
      <c r="I198" s="10">
        <v>250649</v>
      </c>
      <c r="J198" s="10">
        <f t="shared" si="235"/>
        <v>17398</v>
      </c>
      <c r="K198" s="14">
        <f t="shared" si="238"/>
        <v>7.4589176466553192E-2</v>
      </c>
      <c r="L198" s="52">
        <v>303397</v>
      </c>
      <c r="M198" s="52">
        <v>52748</v>
      </c>
      <c r="N198" s="58">
        <v>0.21044568300691405</v>
      </c>
      <c r="O198" s="52">
        <v>342683</v>
      </c>
      <c r="P198" s="52">
        <f>O198-L198</f>
        <v>39286</v>
      </c>
      <c r="Q198" s="58">
        <f>P198/L198</f>
        <v>0.1294871076510315</v>
      </c>
      <c r="R198" s="52">
        <v>370128</v>
      </c>
      <c r="S198" s="52">
        <f t="shared" ref="S198:S206" si="244">R198-O198</f>
        <v>27445</v>
      </c>
      <c r="T198" s="99">
        <f t="shared" ref="T198:T206" si="245">S198/O198</f>
        <v>8.0088594998876508E-2</v>
      </c>
      <c r="U198" s="52">
        <v>386245</v>
      </c>
      <c r="V198" s="52">
        <f>U198-R198</f>
        <v>16117</v>
      </c>
      <c r="W198" s="58">
        <f>V198/R198</f>
        <v>4.354439545238404E-2</v>
      </c>
      <c r="X198" s="166">
        <v>420827</v>
      </c>
      <c r="Y198" s="52">
        <f t="shared" ref="Y198:Y211" si="246">X198-U198</f>
        <v>34582</v>
      </c>
      <c r="Z198" s="95">
        <f>Y198/U198</f>
        <v>8.9533845098318424E-2</v>
      </c>
      <c r="AA198" s="202">
        <v>459727</v>
      </c>
      <c r="AB198" s="172">
        <f t="shared" ref="AB198:AB211" si="247">AA198-X198</f>
        <v>38900</v>
      </c>
      <c r="AC198" s="100">
        <f>AB198/X198</f>
        <v>9.2437034695967701E-2</v>
      </c>
      <c r="AD198" s="65">
        <v>463796</v>
      </c>
      <c r="AE198" s="65">
        <f>3465+4800</f>
        <v>8265</v>
      </c>
      <c r="AF198" s="52">
        <v>351816</v>
      </c>
      <c r="AG198" s="52">
        <f t="shared" ref="AG198:AG219" si="248">AF198-AA198</f>
        <v>-107911</v>
      </c>
      <c r="AH198" s="58">
        <f t="shared" ref="AH198:AH219" si="249">AG198/AA198</f>
        <v>-0.23472843665914772</v>
      </c>
      <c r="AI198" s="65">
        <v>463796</v>
      </c>
      <c r="AJ198" s="65">
        <v>472061</v>
      </c>
      <c r="AK198" s="50">
        <v>471409</v>
      </c>
      <c r="AL198" s="136"/>
      <c r="AM198" s="256">
        <f t="shared" ref="AM198:AM222" si="250">+AL198+AK198</f>
        <v>471409</v>
      </c>
      <c r="AN198" s="50">
        <v>403905</v>
      </c>
      <c r="AO198" s="52">
        <v>412909</v>
      </c>
      <c r="AS198" s="52">
        <f>BB198</f>
        <v>404768.30356999999</v>
      </c>
      <c r="AT198" s="65">
        <f>AS198-AF198</f>
        <v>52952.303569999989</v>
      </c>
      <c r="AU198" s="51">
        <f>AT198/AF198</f>
        <v>0.15051135698774357</v>
      </c>
      <c r="AV198" s="65">
        <f t="shared" ref="AV198:AV222" si="251">+AS198-AF198</f>
        <v>52952.303569999989</v>
      </c>
      <c r="AW198" s="51">
        <f t="shared" ref="AW198:AW222" si="252">+AV198/AF198</f>
        <v>0.15051135698774357</v>
      </c>
      <c r="AX198" s="52">
        <v>410909</v>
      </c>
      <c r="AY198" s="52">
        <f>AX198-AF198</f>
        <v>59093</v>
      </c>
      <c r="AZ198" s="58">
        <f t="shared" si="172"/>
        <v>0.16796564113059098</v>
      </c>
      <c r="BA198" s="616">
        <f>397062.33+4800+4204</f>
        <v>406066.33</v>
      </c>
      <c r="BB198" s="616">
        <f>395764.30357+4800+4204</f>
        <v>404768.30356999999</v>
      </c>
      <c r="BC198" s="616">
        <f>BA198-BB198</f>
        <v>1298.0264300000272</v>
      </c>
      <c r="BD198" s="31">
        <f>BC198/BA198</f>
        <v>3.1965871930332837E-3</v>
      </c>
      <c r="BE198" s="52">
        <f>438072+4372</f>
        <v>442444</v>
      </c>
      <c r="BF198" s="52">
        <f t="shared" ref="BF198:BF222" si="253">BE198-AX198</f>
        <v>31535</v>
      </c>
      <c r="BG198" s="58">
        <f t="shared" ref="BG198:BG222" si="254">BF198/AX198</f>
        <v>7.6744486005417265E-2</v>
      </c>
      <c r="BH198" s="65"/>
      <c r="BI198" s="65"/>
      <c r="BJ198" s="65"/>
      <c r="BK198" s="65"/>
      <c r="BL198" s="39">
        <f t="shared" si="175"/>
        <v>442444</v>
      </c>
      <c r="BM198" s="39">
        <f t="shared" ref="BM198:BM222" si="255">BL198-AS198</f>
        <v>37675.696430000011</v>
      </c>
      <c r="BN198" s="39">
        <v>469424</v>
      </c>
      <c r="BO198" s="534">
        <v>467424</v>
      </c>
      <c r="BP198" s="39">
        <f t="shared" si="165"/>
        <v>24980</v>
      </c>
      <c r="BQ198" s="51">
        <f t="shared" ref="BQ198:BQ222" si="256">BM198/AS198</f>
        <v>9.3079660876866158E-2</v>
      </c>
      <c r="BR198" s="99">
        <f t="shared" si="166"/>
        <v>5.6459122510419395E-2</v>
      </c>
      <c r="BW198" s="280">
        <f>BN198+BS198+BT198+BU198+BV198</f>
        <v>469424</v>
      </c>
      <c r="BX198" s="39">
        <f t="shared" ref="BX198:BX242" si="257">BW198-BL198</f>
        <v>26980</v>
      </c>
      <c r="BY198" s="51">
        <f t="shared" ref="BY198:BY242" si="258">BX198/BL198</f>
        <v>6.0979468588115107E-2</v>
      </c>
    </row>
    <row r="199" spans="1:77" ht="18" customHeight="1">
      <c r="A199" s="57" t="s">
        <v>37</v>
      </c>
      <c r="B199" s="322">
        <v>3002</v>
      </c>
      <c r="C199" s="322">
        <v>0</v>
      </c>
      <c r="D199" s="323">
        <f t="shared" si="233"/>
        <v>-3002</v>
      </c>
      <c r="E199" s="352">
        <f t="shared" si="236"/>
        <v>-1</v>
      </c>
      <c r="F199" s="10">
        <v>0</v>
      </c>
      <c r="G199" s="10">
        <f t="shared" si="234"/>
        <v>0</v>
      </c>
      <c r="H199" s="325" t="s">
        <v>78</v>
      </c>
      <c r="I199" s="10">
        <v>3288</v>
      </c>
      <c r="J199" s="10">
        <f t="shared" si="235"/>
        <v>3288</v>
      </c>
      <c r="K199" s="325" t="s">
        <v>78</v>
      </c>
      <c r="L199" s="52">
        <v>2570</v>
      </c>
      <c r="M199" s="52">
        <v>-718</v>
      </c>
      <c r="N199" s="58">
        <v>-0.21836982968369831</v>
      </c>
      <c r="O199" s="52">
        <v>4666</v>
      </c>
      <c r="P199" s="52">
        <f t="shared" ref="P199:P222" si="259">O199-L199</f>
        <v>2096</v>
      </c>
      <c r="Q199" s="58">
        <f>P199/L199</f>
        <v>0.81556420233463034</v>
      </c>
      <c r="R199" s="52">
        <v>6650</v>
      </c>
      <c r="S199" s="52">
        <f t="shared" si="244"/>
        <v>1984</v>
      </c>
      <c r="T199" s="58">
        <f t="shared" si="245"/>
        <v>0.42520360051435918</v>
      </c>
      <c r="U199" s="52">
        <v>8455</v>
      </c>
      <c r="V199" s="52">
        <f t="shared" ref="V199:V222" si="260">U199-R199</f>
        <v>1805</v>
      </c>
      <c r="W199" s="58">
        <f>V199/R199</f>
        <v>0.27142857142857141</v>
      </c>
      <c r="X199" s="166">
        <v>7849</v>
      </c>
      <c r="Y199" s="52">
        <f t="shared" si="246"/>
        <v>-606</v>
      </c>
      <c r="Z199" s="95">
        <f>Y199/U199</f>
        <v>-7.1673565937315192E-2</v>
      </c>
      <c r="AA199" s="202">
        <v>9000</v>
      </c>
      <c r="AB199" s="172">
        <f t="shared" si="247"/>
        <v>1151</v>
      </c>
      <c r="AC199" s="100">
        <f>AB199/X199</f>
        <v>0.14664288444387821</v>
      </c>
      <c r="AD199" s="65">
        <v>9000</v>
      </c>
      <c r="AE199" s="65"/>
      <c r="AF199" s="52">
        <v>2373</v>
      </c>
      <c r="AG199" s="52">
        <f t="shared" si="248"/>
        <v>-6627</v>
      </c>
      <c r="AH199" s="58">
        <f t="shared" si="249"/>
        <v>-0.73633333333333328</v>
      </c>
      <c r="AI199" s="65">
        <v>9000</v>
      </c>
      <c r="AJ199" s="65">
        <v>9000</v>
      </c>
      <c r="AK199" s="50">
        <v>9000</v>
      </c>
      <c r="AL199" s="136"/>
      <c r="AM199" s="256">
        <f t="shared" si="250"/>
        <v>9000</v>
      </c>
      <c r="AN199" s="50">
        <v>9000</v>
      </c>
      <c r="AO199" s="50">
        <v>9000</v>
      </c>
      <c r="AS199" s="52">
        <f t="shared" ref="AS199:AS222" si="261">BB199</f>
        <v>2840.6934099999999</v>
      </c>
      <c r="AT199" s="65">
        <f t="shared" ref="AT199:AT221" si="262">AS199-AF199</f>
        <v>467.69340999999986</v>
      </c>
      <c r="AU199" s="51">
        <f t="shared" ref="AU199:AU221" si="263">AT199/AF199</f>
        <v>0.19708951116729873</v>
      </c>
      <c r="AV199" s="65">
        <f t="shared" si="251"/>
        <v>467.69340999999986</v>
      </c>
      <c r="AW199" s="51">
        <f t="shared" si="252"/>
        <v>0.19708951116729873</v>
      </c>
      <c r="AX199" s="52">
        <v>3000</v>
      </c>
      <c r="AY199" s="52">
        <f t="shared" si="171"/>
        <v>627</v>
      </c>
      <c r="AZ199" s="58">
        <f t="shared" si="172"/>
        <v>0.26422250316055623</v>
      </c>
      <c r="BA199" s="616">
        <v>3000</v>
      </c>
      <c r="BB199" s="616">
        <v>2840.6934099999999</v>
      </c>
      <c r="BC199" s="616">
        <f t="shared" ref="BC199:BC221" si="264">BA199-BB199</f>
        <v>159.30659000000014</v>
      </c>
      <c r="BD199" s="31">
        <f t="shared" ref="BD199:BD221" si="265">BC199/BA199</f>
        <v>5.3102196666666712E-2</v>
      </c>
      <c r="BE199" s="52">
        <v>4500</v>
      </c>
      <c r="BF199" s="52">
        <f t="shared" si="253"/>
        <v>1500</v>
      </c>
      <c r="BG199" s="58">
        <f t="shared" si="254"/>
        <v>0.5</v>
      </c>
      <c r="BH199" s="65"/>
      <c r="BI199" s="65"/>
      <c r="BJ199" s="65"/>
      <c r="BK199" s="65"/>
      <c r="BL199" s="39">
        <f t="shared" si="175"/>
        <v>4500</v>
      </c>
      <c r="BM199" s="39">
        <f t="shared" si="255"/>
        <v>1659.3065900000001</v>
      </c>
      <c r="BN199" s="39">
        <v>5000</v>
      </c>
      <c r="BO199" s="534">
        <v>4390</v>
      </c>
      <c r="BP199" s="39">
        <f t="shared" si="165"/>
        <v>-110</v>
      </c>
      <c r="BQ199" s="51">
        <f t="shared" si="256"/>
        <v>0.58412026590366906</v>
      </c>
      <c r="BR199" s="99">
        <f t="shared" si="166"/>
        <v>-2.4444444444444446E-2</v>
      </c>
      <c r="BW199" s="280">
        <f>BN199+BS199+BT199+BU199+BV199</f>
        <v>5000</v>
      </c>
      <c r="BX199" s="39">
        <f t="shared" si="257"/>
        <v>500</v>
      </c>
      <c r="BY199" s="51">
        <f t="shared" si="258"/>
        <v>0.1111111111111111</v>
      </c>
    </row>
    <row r="200" spans="1:77" ht="18" customHeight="1">
      <c r="A200" s="57" t="s">
        <v>38</v>
      </c>
      <c r="B200" s="322">
        <v>7929</v>
      </c>
      <c r="C200" s="322">
        <v>7929</v>
      </c>
      <c r="D200" s="323">
        <f t="shared" si="233"/>
        <v>0</v>
      </c>
      <c r="E200" s="352">
        <f t="shared" si="236"/>
        <v>0</v>
      </c>
      <c r="F200" s="10">
        <v>7924</v>
      </c>
      <c r="G200" s="10">
        <f t="shared" si="234"/>
        <v>-5</v>
      </c>
      <c r="H200" s="14">
        <f t="shared" si="237"/>
        <v>-6.3059654433093707E-4</v>
      </c>
      <c r="I200" s="10">
        <v>2280</v>
      </c>
      <c r="J200" s="10">
        <f t="shared" si="235"/>
        <v>-5644</v>
      </c>
      <c r="K200" s="14">
        <f t="shared" si="238"/>
        <v>-0.71226653205451795</v>
      </c>
      <c r="L200" s="52">
        <v>4752</v>
      </c>
      <c r="M200" s="52">
        <v>2472</v>
      </c>
      <c r="N200" s="58">
        <v>1.0842105263157895</v>
      </c>
      <c r="O200" s="52">
        <v>10904</v>
      </c>
      <c r="P200" s="52">
        <f t="shared" si="259"/>
        <v>6152</v>
      </c>
      <c r="Q200" s="58">
        <f>P200/L200</f>
        <v>1.2946127946127945</v>
      </c>
      <c r="R200" s="52">
        <v>10941</v>
      </c>
      <c r="S200" s="52">
        <f t="shared" si="244"/>
        <v>37</v>
      </c>
      <c r="T200" s="58">
        <f t="shared" si="245"/>
        <v>3.3932501834189289E-3</v>
      </c>
      <c r="U200" s="52">
        <v>30448</v>
      </c>
      <c r="V200" s="52">
        <f t="shared" si="260"/>
        <v>19507</v>
      </c>
      <c r="W200" s="58">
        <f>V200/R200</f>
        <v>1.7829266063431131</v>
      </c>
      <c r="X200" s="166">
        <v>30664</v>
      </c>
      <c r="Y200" s="52">
        <f t="shared" si="246"/>
        <v>216</v>
      </c>
      <c r="Z200" s="95">
        <f>Y200/U200</f>
        <v>7.0940620073568052E-3</v>
      </c>
      <c r="AA200" s="202">
        <v>32791</v>
      </c>
      <c r="AB200" s="172">
        <f t="shared" si="247"/>
        <v>2127</v>
      </c>
      <c r="AC200" s="100">
        <f>AB200/X200</f>
        <v>6.9364727367597176E-2</v>
      </c>
      <c r="AD200" s="65">
        <v>32285</v>
      </c>
      <c r="AE200" s="65"/>
      <c r="AF200" s="52">
        <v>32257</v>
      </c>
      <c r="AG200" s="52">
        <f t="shared" si="248"/>
        <v>-534</v>
      </c>
      <c r="AH200" s="58">
        <f t="shared" si="249"/>
        <v>-1.6284956237992133E-2</v>
      </c>
      <c r="AI200" s="65">
        <v>32285</v>
      </c>
      <c r="AJ200" s="65">
        <v>32285</v>
      </c>
      <c r="AK200" s="50">
        <v>33045</v>
      </c>
      <c r="AL200" s="136"/>
      <c r="AM200" s="256">
        <f t="shared" si="250"/>
        <v>33045</v>
      </c>
      <c r="AN200" s="50">
        <v>33045</v>
      </c>
      <c r="AO200" s="50">
        <v>33045</v>
      </c>
      <c r="AS200" s="52">
        <f t="shared" si="261"/>
        <v>32243.889360000001</v>
      </c>
      <c r="AT200" s="65">
        <f t="shared" si="262"/>
        <v>-13.110639999998966</v>
      </c>
      <c r="AU200" s="51">
        <f t="shared" si="263"/>
        <v>-4.0644325262730464E-4</v>
      </c>
      <c r="AV200" s="65">
        <f t="shared" si="251"/>
        <v>-13.110639999998966</v>
      </c>
      <c r="AW200" s="51">
        <f t="shared" si="252"/>
        <v>-4.0644325262730464E-4</v>
      </c>
      <c r="AX200" s="52">
        <v>33045</v>
      </c>
      <c r="AY200" s="52">
        <f t="shared" si="171"/>
        <v>788</v>
      </c>
      <c r="AZ200" s="58">
        <f t="shared" si="172"/>
        <v>2.4428806150602968E-2</v>
      </c>
      <c r="BA200" s="616">
        <v>33044.574999999997</v>
      </c>
      <c r="BB200" s="616">
        <v>32243.889360000001</v>
      </c>
      <c r="BC200" s="616">
        <f t="shared" si="264"/>
        <v>800.68563999999606</v>
      </c>
      <c r="BD200" s="31">
        <f t="shared" si="265"/>
        <v>2.4230471718882634E-2</v>
      </c>
      <c r="BE200" s="52">
        <v>32534</v>
      </c>
      <c r="BF200" s="52">
        <f t="shared" si="253"/>
        <v>-511</v>
      </c>
      <c r="BG200" s="58">
        <f t="shared" si="254"/>
        <v>-1.5463761537297624E-2</v>
      </c>
      <c r="BH200" s="65"/>
      <c r="BI200" s="65"/>
      <c r="BJ200" s="65"/>
      <c r="BK200" s="65"/>
      <c r="BL200" s="39">
        <f t="shared" si="175"/>
        <v>32534</v>
      </c>
      <c r="BM200" s="39">
        <f t="shared" si="255"/>
        <v>290.11063999999897</v>
      </c>
      <c r="BN200" s="39">
        <v>32542</v>
      </c>
      <c r="BO200" s="534">
        <v>32542</v>
      </c>
      <c r="BP200" s="39">
        <f t="shared" ref="BP200:BP242" si="266">BO200-BE200</f>
        <v>8</v>
      </c>
      <c r="BQ200" s="51">
        <f t="shared" si="256"/>
        <v>8.9973835588176374E-3</v>
      </c>
      <c r="BR200" s="99">
        <f t="shared" ref="BR200:BR243" si="267">BP200/BE200</f>
        <v>2.4589660047949838E-4</v>
      </c>
      <c r="BW200" s="280">
        <f>BN200+BS200+BT200+BU200+BV200</f>
        <v>32542</v>
      </c>
      <c r="BX200" s="39">
        <f t="shared" si="257"/>
        <v>8</v>
      </c>
      <c r="BY200" s="51">
        <f t="shared" si="258"/>
        <v>2.4589660047949838E-4</v>
      </c>
    </row>
    <row r="201" spans="1:77" ht="18" customHeight="1">
      <c r="A201" s="57" t="s">
        <v>99</v>
      </c>
      <c r="B201" s="322">
        <v>68166</v>
      </c>
      <c r="C201" s="322">
        <v>25881</v>
      </c>
      <c r="D201" s="323">
        <f t="shared" si="233"/>
        <v>-42285</v>
      </c>
      <c r="E201" s="352">
        <f t="shared" si="236"/>
        <v>-0.62032391514831442</v>
      </c>
      <c r="F201" s="10">
        <v>31360</v>
      </c>
      <c r="G201" s="10">
        <f t="shared" si="234"/>
        <v>5479</v>
      </c>
      <c r="H201" s="14">
        <f t="shared" si="237"/>
        <v>0.21169970248444805</v>
      </c>
      <c r="I201" s="10">
        <v>23356</v>
      </c>
      <c r="J201" s="10">
        <f t="shared" si="235"/>
        <v>-8004</v>
      </c>
      <c r="K201" s="14">
        <f t="shared" si="238"/>
        <v>-0.25522959183673471</v>
      </c>
      <c r="L201" s="52">
        <v>18890</v>
      </c>
      <c r="M201" s="52">
        <v>-4466</v>
      </c>
      <c r="N201" s="58">
        <v>-0.19121424901524234</v>
      </c>
      <c r="O201" s="52">
        <v>19323</v>
      </c>
      <c r="P201" s="52">
        <f t="shared" si="259"/>
        <v>433</v>
      </c>
      <c r="Q201" s="58">
        <f>P201/L201</f>
        <v>2.2922181048173638E-2</v>
      </c>
      <c r="R201" s="52">
        <v>29956</v>
      </c>
      <c r="S201" s="52">
        <f t="shared" si="244"/>
        <v>10633</v>
      </c>
      <c r="T201" s="58">
        <f t="shared" si="245"/>
        <v>0.55027687212130627</v>
      </c>
      <c r="U201" s="52">
        <v>25029</v>
      </c>
      <c r="V201" s="52">
        <f t="shared" si="260"/>
        <v>-4927</v>
      </c>
      <c r="W201" s="58">
        <f>V201/R201</f>
        <v>-0.16447456269194818</v>
      </c>
      <c r="X201" s="166">
        <v>21015</v>
      </c>
      <c r="Y201" s="52">
        <f t="shared" si="246"/>
        <v>-4014</v>
      </c>
      <c r="Z201" s="95">
        <f>Y201/U201</f>
        <v>-0.16037396619920891</v>
      </c>
      <c r="AA201" s="202">
        <v>21477</v>
      </c>
      <c r="AB201" s="172">
        <f t="shared" si="247"/>
        <v>462</v>
      </c>
      <c r="AC201" s="100">
        <f>AB201/X201</f>
        <v>2.1984296930763741E-2</v>
      </c>
      <c r="AD201" s="65">
        <v>21477</v>
      </c>
      <c r="AE201" s="65"/>
      <c r="AF201" s="52">
        <v>21470</v>
      </c>
      <c r="AG201" s="52">
        <f t="shared" si="248"/>
        <v>-7</v>
      </c>
      <c r="AH201" s="58">
        <f t="shared" si="249"/>
        <v>-3.2593006472039857E-4</v>
      </c>
      <c r="AI201" s="65">
        <v>21477</v>
      </c>
      <c r="AJ201" s="246">
        <v>21477</v>
      </c>
      <c r="AK201" s="246">
        <v>21950</v>
      </c>
      <c r="AL201" s="136"/>
      <c r="AM201" s="256">
        <v>21950</v>
      </c>
      <c r="AN201" s="220">
        <v>21477</v>
      </c>
      <c r="AO201" s="220">
        <v>21477</v>
      </c>
      <c r="AS201" s="52">
        <f t="shared" si="261"/>
        <v>21477</v>
      </c>
      <c r="AT201" s="65">
        <f t="shared" si="262"/>
        <v>7</v>
      </c>
      <c r="AU201" s="51">
        <f t="shared" si="263"/>
        <v>3.2603632976245924E-4</v>
      </c>
      <c r="AV201" s="65">
        <f t="shared" si="251"/>
        <v>7</v>
      </c>
      <c r="AW201" s="51">
        <f t="shared" si="252"/>
        <v>3.2603632976245924E-4</v>
      </c>
      <c r="AX201" s="52">
        <v>21477</v>
      </c>
      <c r="AY201" s="52">
        <f t="shared" si="171"/>
        <v>7</v>
      </c>
      <c r="AZ201" s="58">
        <f t="shared" si="172"/>
        <v>3.2603632976245924E-4</v>
      </c>
      <c r="BA201" s="616">
        <v>21477</v>
      </c>
      <c r="BB201" s="616">
        <v>21477</v>
      </c>
      <c r="BC201" s="616">
        <f t="shared" si="264"/>
        <v>0</v>
      </c>
      <c r="BD201" s="31">
        <f t="shared" si="265"/>
        <v>0</v>
      </c>
      <c r="BE201" s="52">
        <v>21477</v>
      </c>
      <c r="BF201" s="52">
        <f t="shared" si="253"/>
        <v>0</v>
      </c>
      <c r="BG201" s="58">
        <f t="shared" si="254"/>
        <v>0</v>
      </c>
      <c r="BH201" s="65"/>
      <c r="BI201" s="65"/>
      <c r="BJ201" s="65"/>
      <c r="BK201" s="65"/>
      <c r="BL201" s="39">
        <f t="shared" si="175"/>
        <v>21477</v>
      </c>
      <c r="BM201" s="39">
        <f t="shared" si="255"/>
        <v>0</v>
      </c>
      <c r="BN201" s="39">
        <v>21477</v>
      </c>
      <c r="BO201" s="534">
        <v>21477</v>
      </c>
      <c r="BP201" s="39">
        <f t="shared" si="266"/>
        <v>0</v>
      </c>
      <c r="BQ201" s="51">
        <f t="shared" si="256"/>
        <v>0</v>
      </c>
      <c r="BR201" s="99">
        <f t="shared" si="267"/>
        <v>0</v>
      </c>
      <c r="BW201" s="280" t="e">
        <f>#REF!+BS201+BT201+BU201+BV201</f>
        <v>#REF!</v>
      </c>
      <c r="BX201" s="39" t="e">
        <f t="shared" si="257"/>
        <v>#REF!</v>
      </c>
      <c r="BY201" s="51" t="e">
        <f t="shared" si="258"/>
        <v>#REF!</v>
      </c>
    </row>
    <row r="202" spans="1:77" ht="18" customHeight="1">
      <c r="A202" s="57" t="s">
        <v>145</v>
      </c>
      <c r="B202" s="322">
        <v>0</v>
      </c>
      <c r="C202" s="322">
        <v>9897</v>
      </c>
      <c r="D202" s="323">
        <f t="shared" si="233"/>
        <v>9897</v>
      </c>
      <c r="E202" s="325" t="s">
        <v>78</v>
      </c>
      <c r="F202" s="10">
        <v>5945</v>
      </c>
      <c r="G202" s="10">
        <f t="shared" si="234"/>
        <v>-3952</v>
      </c>
      <c r="H202" s="14">
        <f t="shared" si="237"/>
        <v>-0.39931292310801253</v>
      </c>
      <c r="I202" s="10">
        <v>3875</v>
      </c>
      <c r="J202" s="10">
        <f t="shared" si="235"/>
        <v>-2070</v>
      </c>
      <c r="K202" s="14">
        <f t="shared" si="238"/>
        <v>-0.34819175777964678</v>
      </c>
      <c r="L202" s="52">
        <v>3518</v>
      </c>
      <c r="M202" s="52">
        <v>-357</v>
      </c>
      <c r="N202" s="58">
        <v>-9.2129032258064514E-2</v>
      </c>
      <c r="O202" s="52">
        <v>3259</v>
      </c>
      <c r="P202" s="52">
        <f t="shared" si="259"/>
        <v>-259</v>
      </c>
      <c r="Q202" s="58">
        <f>P202/L202</f>
        <v>-7.3621375781694143E-2</v>
      </c>
      <c r="R202" s="52">
        <v>3830</v>
      </c>
      <c r="S202" s="52">
        <f t="shared" si="244"/>
        <v>571</v>
      </c>
      <c r="T202" s="58">
        <f t="shared" si="245"/>
        <v>0.17520711874808223</v>
      </c>
      <c r="U202" s="52">
        <v>3763</v>
      </c>
      <c r="V202" s="52">
        <f t="shared" si="260"/>
        <v>-67</v>
      </c>
      <c r="W202" s="58">
        <f>V202/R202</f>
        <v>-1.7493472584856395E-2</v>
      </c>
      <c r="X202" s="166">
        <v>4147</v>
      </c>
      <c r="Y202" s="52">
        <f t="shared" si="246"/>
        <v>384</v>
      </c>
      <c r="Z202" s="95">
        <f>Y202/U202</f>
        <v>0.10204623970236514</v>
      </c>
      <c r="AA202" s="202">
        <v>4058</v>
      </c>
      <c r="AB202" s="172">
        <f t="shared" si="247"/>
        <v>-89</v>
      </c>
      <c r="AC202" s="100">
        <f>AB202/X202</f>
        <v>-2.1461297323366289E-2</v>
      </c>
      <c r="AD202" s="65">
        <v>3625</v>
      </c>
      <c r="AE202" s="65"/>
      <c r="AF202" s="52">
        <v>3226</v>
      </c>
      <c r="AG202" s="52">
        <f t="shared" si="248"/>
        <v>-832</v>
      </c>
      <c r="AH202" s="58">
        <f t="shared" si="249"/>
        <v>-0.20502710694923607</v>
      </c>
      <c r="AI202" s="269">
        <v>3625</v>
      </c>
      <c r="AJ202" s="270">
        <v>3625</v>
      </c>
      <c r="AK202" s="245">
        <v>3598</v>
      </c>
      <c r="AL202" s="136"/>
      <c r="AM202" s="256">
        <f t="shared" si="250"/>
        <v>3598</v>
      </c>
      <c r="AN202" s="220">
        <v>3598</v>
      </c>
      <c r="AO202" s="220">
        <v>3598</v>
      </c>
      <c r="AS202" s="52">
        <f t="shared" si="261"/>
        <v>3565.94409</v>
      </c>
      <c r="AT202" s="65">
        <f t="shared" si="262"/>
        <v>339.94408999999996</v>
      </c>
      <c r="AU202" s="51">
        <f t="shared" si="263"/>
        <v>0.10537634531928083</v>
      </c>
      <c r="AV202" s="65">
        <f t="shared" si="251"/>
        <v>339.94408999999996</v>
      </c>
      <c r="AW202" s="51">
        <f t="shared" si="252"/>
        <v>0.10537634531928083</v>
      </c>
      <c r="AX202" s="52">
        <v>3598</v>
      </c>
      <c r="AY202" s="52">
        <f t="shared" si="171"/>
        <v>372</v>
      </c>
      <c r="AZ202" s="58">
        <f t="shared" si="172"/>
        <v>0.11531308121512709</v>
      </c>
      <c r="BA202" s="616">
        <v>3598.12556</v>
      </c>
      <c r="BB202" s="616">
        <v>3565.94409</v>
      </c>
      <c r="BC202" s="616">
        <f t="shared" si="264"/>
        <v>32.18146999999999</v>
      </c>
      <c r="BD202" s="31">
        <f t="shared" si="265"/>
        <v>8.9439541403885832E-3</v>
      </c>
      <c r="BE202" s="52">
        <v>3968</v>
      </c>
      <c r="BF202" s="52">
        <f t="shared" si="253"/>
        <v>370</v>
      </c>
      <c r="BG202" s="58">
        <f t="shared" si="254"/>
        <v>0.10283490828237909</v>
      </c>
      <c r="BH202" s="65"/>
      <c r="BI202" s="65"/>
      <c r="BJ202" s="65"/>
      <c r="BK202" s="65"/>
      <c r="BL202" s="39">
        <f t="shared" si="175"/>
        <v>3968</v>
      </c>
      <c r="BM202" s="39">
        <f t="shared" si="255"/>
        <v>402.05591000000004</v>
      </c>
      <c r="BN202" s="39">
        <v>4193</v>
      </c>
      <c r="BO202" s="534">
        <v>4193</v>
      </c>
      <c r="BP202" s="39">
        <f t="shared" si="266"/>
        <v>225</v>
      </c>
      <c r="BQ202" s="51">
        <f t="shared" si="256"/>
        <v>0.11274879803289345</v>
      </c>
      <c r="BR202" s="99">
        <f t="shared" si="267"/>
        <v>5.6703629032258063E-2</v>
      </c>
      <c r="BW202" s="280">
        <f t="shared" ref="BW202:BW219" si="268">BN202+BS202+BT202+BU202+BV202</f>
        <v>4193</v>
      </c>
      <c r="BX202" s="39">
        <f t="shared" si="257"/>
        <v>225</v>
      </c>
      <c r="BY202" s="51">
        <f t="shared" si="258"/>
        <v>5.6703629032258063E-2</v>
      </c>
    </row>
    <row r="203" spans="1:77" ht="18" customHeight="1">
      <c r="A203" s="57" t="s">
        <v>39</v>
      </c>
      <c r="B203" s="322">
        <v>0</v>
      </c>
      <c r="C203" s="322">
        <v>0</v>
      </c>
      <c r="D203" s="323">
        <f t="shared" si="233"/>
        <v>0</v>
      </c>
      <c r="E203" s="325" t="s">
        <v>78</v>
      </c>
      <c r="F203" s="10">
        <v>0</v>
      </c>
      <c r="G203" s="10">
        <f t="shared" si="234"/>
        <v>0</v>
      </c>
      <c r="H203" s="325" t="s">
        <v>78</v>
      </c>
      <c r="I203" s="10">
        <v>0</v>
      </c>
      <c r="J203" s="10">
        <f t="shared" si="235"/>
        <v>0</v>
      </c>
      <c r="K203" s="325" t="s">
        <v>78</v>
      </c>
      <c r="L203" s="52">
        <v>0</v>
      </c>
      <c r="M203" s="52">
        <v>0</v>
      </c>
      <c r="N203" s="60" t="s">
        <v>78</v>
      </c>
      <c r="O203" s="52">
        <v>0</v>
      </c>
      <c r="P203" s="52">
        <f t="shared" si="259"/>
        <v>0</v>
      </c>
      <c r="Q203" s="60" t="s">
        <v>78</v>
      </c>
      <c r="R203" s="52">
        <v>0</v>
      </c>
      <c r="S203" s="52">
        <f t="shared" si="244"/>
        <v>0</v>
      </c>
      <c r="T203" s="60" t="s">
        <v>78</v>
      </c>
      <c r="U203" s="52">
        <v>0</v>
      </c>
      <c r="V203" s="52">
        <f t="shared" si="260"/>
        <v>0</v>
      </c>
      <c r="W203" s="60" t="s">
        <v>78</v>
      </c>
      <c r="X203" s="166">
        <v>0</v>
      </c>
      <c r="Y203" s="52">
        <f t="shared" si="246"/>
        <v>0</v>
      </c>
      <c r="Z203" s="60" t="s">
        <v>78</v>
      </c>
      <c r="AA203" s="202">
        <v>26691</v>
      </c>
      <c r="AB203" s="172">
        <f t="shared" si="247"/>
        <v>26691</v>
      </c>
      <c r="AC203" s="70" t="s">
        <v>78</v>
      </c>
      <c r="AD203" s="219">
        <v>0</v>
      </c>
      <c r="AE203" s="219"/>
      <c r="AG203" s="52">
        <f t="shared" si="248"/>
        <v>-26691</v>
      </c>
      <c r="AH203" s="58">
        <f t="shared" si="249"/>
        <v>-1</v>
      </c>
      <c r="AI203" s="270">
        <v>0</v>
      </c>
      <c r="AJ203" s="270">
        <v>0</v>
      </c>
      <c r="AK203" s="258">
        <v>0</v>
      </c>
      <c r="AL203" s="136"/>
      <c r="AM203" s="256">
        <f t="shared" si="250"/>
        <v>0</v>
      </c>
      <c r="AN203" s="257">
        <v>0</v>
      </c>
      <c r="AO203" s="257">
        <v>0</v>
      </c>
      <c r="AS203" s="52">
        <f t="shared" si="261"/>
        <v>0</v>
      </c>
      <c r="AT203" s="65">
        <f t="shared" si="262"/>
        <v>0</v>
      </c>
      <c r="AU203" s="51" t="e">
        <f t="shared" si="263"/>
        <v>#DIV/0!</v>
      </c>
      <c r="AV203" s="65">
        <f t="shared" si="251"/>
        <v>0</v>
      </c>
      <c r="AW203" s="51" t="e">
        <f t="shared" si="252"/>
        <v>#DIV/0!</v>
      </c>
      <c r="AY203" s="52">
        <f t="shared" si="171"/>
        <v>0</v>
      </c>
      <c r="AZ203" s="58" t="e">
        <f t="shared" si="172"/>
        <v>#DIV/0!</v>
      </c>
      <c r="BC203" s="616">
        <f t="shared" si="264"/>
        <v>0</v>
      </c>
      <c r="BD203" s="31"/>
      <c r="BF203" s="52">
        <f t="shared" si="253"/>
        <v>0</v>
      </c>
      <c r="BG203" s="58" t="e">
        <f t="shared" si="254"/>
        <v>#DIV/0!</v>
      </c>
      <c r="BH203" s="65"/>
      <c r="BI203" s="65"/>
      <c r="BJ203" s="65"/>
      <c r="BK203" s="65"/>
      <c r="BL203" s="39">
        <f t="shared" si="175"/>
        <v>0</v>
      </c>
      <c r="BM203" s="39">
        <f t="shared" si="255"/>
        <v>0</v>
      </c>
      <c r="BN203" s="39">
        <v>0</v>
      </c>
      <c r="BO203" s="534"/>
      <c r="BP203" s="39">
        <f t="shared" si="266"/>
        <v>0</v>
      </c>
      <c r="BQ203" s="51" t="e">
        <f t="shared" si="256"/>
        <v>#DIV/0!</v>
      </c>
      <c r="BR203" s="99" t="e">
        <f t="shared" si="267"/>
        <v>#DIV/0!</v>
      </c>
      <c r="BW203" s="280">
        <f t="shared" si="268"/>
        <v>0</v>
      </c>
      <c r="BX203" s="39">
        <f t="shared" si="257"/>
        <v>0</v>
      </c>
      <c r="BY203" s="51" t="e">
        <f t="shared" si="258"/>
        <v>#DIV/0!</v>
      </c>
    </row>
    <row r="204" spans="1:77" ht="18" customHeight="1">
      <c r="A204" s="57" t="s">
        <v>41</v>
      </c>
      <c r="B204" s="322">
        <v>0</v>
      </c>
      <c r="C204" s="322">
        <v>0</v>
      </c>
      <c r="D204" s="323">
        <f t="shared" si="233"/>
        <v>0</v>
      </c>
      <c r="E204" s="325" t="s">
        <v>78</v>
      </c>
      <c r="F204" s="10">
        <v>0</v>
      </c>
      <c r="G204" s="10">
        <f t="shared" si="234"/>
        <v>0</v>
      </c>
      <c r="H204" s="325" t="s">
        <v>78</v>
      </c>
      <c r="I204" s="10">
        <v>0</v>
      </c>
      <c r="J204" s="10">
        <f t="shared" si="235"/>
        <v>0</v>
      </c>
      <c r="K204" s="325" t="s">
        <v>78</v>
      </c>
      <c r="L204" s="52">
        <v>0</v>
      </c>
      <c r="M204" s="52">
        <v>0</v>
      </c>
      <c r="N204" s="60" t="s">
        <v>78</v>
      </c>
      <c r="O204" s="52">
        <v>0</v>
      </c>
      <c r="P204" s="52">
        <f t="shared" si="259"/>
        <v>0</v>
      </c>
      <c r="Q204" s="60" t="s">
        <v>78</v>
      </c>
      <c r="R204" s="52">
        <v>0</v>
      </c>
      <c r="S204" s="52">
        <f t="shared" si="244"/>
        <v>0</v>
      </c>
      <c r="T204" s="60" t="s">
        <v>78</v>
      </c>
      <c r="U204" s="52">
        <v>0</v>
      </c>
      <c r="V204" s="52">
        <f t="shared" si="260"/>
        <v>0</v>
      </c>
      <c r="W204" s="60" t="s">
        <v>78</v>
      </c>
      <c r="X204" s="166">
        <v>0</v>
      </c>
      <c r="Y204" s="52">
        <f t="shared" si="246"/>
        <v>0</v>
      </c>
      <c r="Z204" s="60" t="s">
        <v>78</v>
      </c>
      <c r="AA204" s="202">
        <v>39279</v>
      </c>
      <c r="AB204" s="172">
        <f t="shared" si="247"/>
        <v>39279</v>
      </c>
      <c r="AC204" s="70" t="s">
        <v>78</v>
      </c>
      <c r="AD204" s="65">
        <v>3603</v>
      </c>
      <c r="AE204" s="65"/>
      <c r="AF204" s="52">
        <v>2410</v>
      </c>
      <c r="AG204" s="52">
        <f t="shared" si="248"/>
        <v>-36869</v>
      </c>
      <c r="AH204" s="58">
        <f t="shared" si="249"/>
        <v>-0.93864405916647575</v>
      </c>
      <c r="AI204" s="270">
        <v>3603</v>
      </c>
      <c r="AJ204" s="270">
        <v>3603</v>
      </c>
      <c r="AK204" s="257">
        <v>0</v>
      </c>
      <c r="AL204" s="136">
        <v>3467</v>
      </c>
      <c r="AM204" s="256">
        <f t="shared" si="250"/>
        <v>3467</v>
      </c>
      <c r="AO204" s="220">
        <v>973</v>
      </c>
      <c r="AP204" s="220"/>
      <c r="AQ204" s="220"/>
      <c r="AS204" s="52">
        <f t="shared" si="261"/>
        <v>0</v>
      </c>
      <c r="AT204" s="65">
        <f t="shared" si="262"/>
        <v>-2410</v>
      </c>
      <c r="AU204" s="51">
        <f t="shared" si="263"/>
        <v>-1</v>
      </c>
      <c r="AV204" s="65">
        <f t="shared" si="251"/>
        <v>-2410</v>
      </c>
      <c r="AW204" s="51">
        <f t="shared" si="252"/>
        <v>-1</v>
      </c>
      <c r="AX204" s="52">
        <v>973</v>
      </c>
      <c r="AY204" s="52">
        <f t="shared" ref="AY204:AY242" si="269">AX204-AF204</f>
        <v>-1437</v>
      </c>
      <c r="AZ204" s="58">
        <f t="shared" ref="AZ204:AZ242" si="270">AY204/AF204</f>
        <v>-0.59626556016597509</v>
      </c>
      <c r="BA204" s="616">
        <v>973.18600000000004</v>
      </c>
      <c r="BB204" s="616">
        <v>0</v>
      </c>
      <c r="BC204" s="616">
        <f t="shared" si="264"/>
        <v>973.18600000000004</v>
      </c>
      <c r="BD204" s="31">
        <f t="shared" si="265"/>
        <v>1</v>
      </c>
      <c r="BE204" s="52">
        <f>22350</f>
        <v>22350</v>
      </c>
      <c r="BF204" s="52">
        <f t="shared" si="253"/>
        <v>21377</v>
      </c>
      <c r="BG204" s="58">
        <f t="shared" si="254"/>
        <v>21.970195272353546</v>
      </c>
      <c r="BH204" s="65"/>
      <c r="BI204" s="65"/>
      <c r="BJ204" s="65"/>
      <c r="BK204" s="65"/>
      <c r="BL204" s="39">
        <f t="shared" ref="BL204:BL241" si="271">BE204+BH204+BI204+BJ204+BK204</f>
        <v>22350</v>
      </c>
      <c r="BM204" s="39">
        <f t="shared" si="255"/>
        <v>22350</v>
      </c>
      <c r="BN204" s="39">
        <v>27161</v>
      </c>
      <c r="BO204" s="534">
        <v>34161</v>
      </c>
      <c r="BP204" s="39">
        <f t="shared" si="266"/>
        <v>11811</v>
      </c>
      <c r="BQ204" s="51" t="e">
        <f t="shared" si="256"/>
        <v>#DIV/0!</v>
      </c>
      <c r="BR204" s="99">
        <f t="shared" si="267"/>
        <v>0.52845637583892613</v>
      </c>
      <c r="BS204" s="39">
        <v>19001</v>
      </c>
      <c r="BW204" s="280">
        <f t="shared" si="268"/>
        <v>46162</v>
      </c>
      <c r="BX204" s="39">
        <f t="shared" si="257"/>
        <v>23812</v>
      </c>
      <c r="BY204" s="51">
        <f t="shared" si="258"/>
        <v>1.0654138702460849</v>
      </c>
    </row>
    <row r="205" spans="1:77" ht="18" customHeight="1">
      <c r="A205" s="312" t="s">
        <v>401</v>
      </c>
      <c r="B205" s="325" t="s">
        <v>78</v>
      </c>
      <c r="C205" s="325" t="s">
        <v>78</v>
      </c>
      <c r="D205" s="325" t="s">
        <v>78</v>
      </c>
      <c r="E205" s="325" t="s">
        <v>78</v>
      </c>
      <c r="F205" s="10">
        <v>0</v>
      </c>
      <c r="G205" s="325" t="s">
        <v>78</v>
      </c>
      <c r="H205" s="325" t="s">
        <v>78</v>
      </c>
      <c r="I205" s="10">
        <v>0</v>
      </c>
      <c r="J205" s="10">
        <f t="shared" si="235"/>
        <v>0</v>
      </c>
      <c r="K205" s="325" t="s">
        <v>78</v>
      </c>
      <c r="L205" s="52">
        <v>0</v>
      </c>
      <c r="M205" s="52">
        <v>0</v>
      </c>
      <c r="N205" s="60" t="s">
        <v>78</v>
      </c>
      <c r="O205" s="52">
        <v>0</v>
      </c>
      <c r="P205" s="69">
        <f t="shared" si="259"/>
        <v>0</v>
      </c>
      <c r="Q205" s="60" t="s">
        <v>78</v>
      </c>
      <c r="R205" s="52">
        <v>0</v>
      </c>
      <c r="S205" s="52">
        <f t="shared" si="244"/>
        <v>0</v>
      </c>
      <c r="T205" s="60" t="s">
        <v>78</v>
      </c>
      <c r="U205" s="52">
        <v>0</v>
      </c>
      <c r="V205" s="52">
        <f t="shared" si="260"/>
        <v>0</v>
      </c>
      <c r="W205" s="60" t="s">
        <v>78</v>
      </c>
      <c r="X205" s="166">
        <v>0</v>
      </c>
      <c r="Y205" s="52">
        <f t="shared" si="246"/>
        <v>0</v>
      </c>
      <c r="Z205" s="60" t="s">
        <v>78</v>
      </c>
      <c r="AA205" s="202">
        <v>46000</v>
      </c>
      <c r="AB205" s="172">
        <f t="shared" si="247"/>
        <v>46000</v>
      </c>
      <c r="AC205" s="70" t="s">
        <v>78</v>
      </c>
      <c r="AD205" s="219"/>
      <c r="AE205" s="219"/>
      <c r="AF205" s="52">
        <v>0</v>
      </c>
      <c r="AG205" s="52">
        <f t="shared" si="248"/>
        <v>-46000</v>
      </c>
      <c r="AH205" s="58">
        <f t="shared" si="249"/>
        <v>-1</v>
      </c>
      <c r="AI205" s="270">
        <v>0</v>
      </c>
      <c r="AJ205" s="270">
        <v>0</v>
      </c>
      <c r="AL205" s="136"/>
      <c r="AM205" s="256">
        <f t="shared" si="250"/>
        <v>0</v>
      </c>
      <c r="AN205" s="257">
        <v>0</v>
      </c>
      <c r="AO205" s="257">
        <v>0</v>
      </c>
      <c r="AS205" s="52">
        <f t="shared" si="261"/>
        <v>0</v>
      </c>
      <c r="AT205" s="65">
        <f t="shared" si="262"/>
        <v>0</v>
      </c>
      <c r="AU205" s="51" t="e">
        <f t="shared" si="263"/>
        <v>#DIV/0!</v>
      </c>
      <c r="AV205" s="65">
        <f t="shared" si="251"/>
        <v>0</v>
      </c>
      <c r="AW205" s="51" t="e">
        <f t="shared" si="252"/>
        <v>#DIV/0!</v>
      </c>
      <c r="AX205" s="52">
        <f>40000</f>
        <v>40000</v>
      </c>
      <c r="AY205" s="52">
        <f t="shared" si="269"/>
        <v>40000</v>
      </c>
      <c r="AZ205" s="58" t="e">
        <f t="shared" si="270"/>
        <v>#DIV/0!</v>
      </c>
      <c r="BA205" s="616">
        <v>160.93899999999999</v>
      </c>
      <c r="BB205" s="616">
        <v>0</v>
      </c>
      <c r="BC205" s="616">
        <f t="shared" si="264"/>
        <v>160.93899999999999</v>
      </c>
      <c r="BD205" s="31">
        <f t="shared" si="265"/>
        <v>1</v>
      </c>
      <c r="BE205" s="52">
        <v>0</v>
      </c>
      <c r="BF205" s="52">
        <f t="shared" si="253"/>
        <v>-40000</v>
      </c>
      <c r="BG205" s="58">
        <f t="shared" si="254"/>
        <v>-1</v>
      </c>
      <c r="BH205" s="65"/>
      <c r="BI205" s="65"/>
      <c r="BJ205" s="65"/>
      <c r="BK205" s="65"/>
      <c r="BL205" s="39">
        <f t="shared" si="271"/>
        <v>0</v>
      </c>
      <c r="BM205" s="39">
        <f t="shared" si="255"/>
        <v>0</v>
      </c>
      <c r="BN205" s="39">
        <v>0</v>
      </c>
      <c r="BO205" s="534"/>
      <c r="BP205" s="39">
        <f t="shared" si="266"/>
        <v>0</v>
      </c>
      <c r="BQ205" s="51" t="e">
        <f t="shared" si="256"/>
        <v>#DIV/0!</v>
      </c>
      <c r="BR205" s="99" t="e">
        <f t="shared" si="267"/>
        <v>#DIV/0!</v>
      </c>
      <c r="BW205" s="280">
        <f t="shared" si="268"/>
        <v>0</v>
      </c>
      <c r="BX205" s="39">
        <f t="shared" si="257"/>
        <v>0</v>
      </c>
      <c r="BY205" s="51" t="e">
        <f t="shared" si="258"/>
        <v>#DIV/0!</v>
      </c>
    </row>
    <row r="206" spans="1:77" ht="18" customHeight="1">
      <c r="A206" s="59" t="s">
        <v>42</v>
      </c>
      <c r="B206" s="325" t="s">
        <v>78</v>
      </c>
      <c r="C206" s="325" t="s">
        <v>78</v>
      </c>
      <c r="D206" s="325" t="s">
        <v>78</v>
      </c>
      <c r="E206" s="325" t="s">
        <v>78</v>
      </c>
      <c r="F206" s="325" t="s">
        <v>78</v>
      </c>
      <c r="G206" s="325" t="s">
        <v>78</v>
      </c>
      <c r="H206" s="325" t="s">
        <v>78</v>
      </c>
      <c r="I206" s="325" t="s">
        <v>78</v>
      </c>
      <c r="J206" s="325" t="s">
        <v>78</v>
      </c>
      <c r="K206" s="325" t="s">
        <v>78</v>
      </c>
      <c r="L206" s="52">
        <v>0</v>
      </c>
      <c r="M206" s="52">
        <v>0</v>
      </c>
      <c r="N206" s="60" t="s">
        <v>78</v>
      </c>
      <c r="O206" s="52">
        <v>22058</v>
      </c>
      <c r="P206" s="69">
        <f t="shared" si="259"/>
        <v>22058</v>
      </c>
      <c r="Q206" s="60" t="s">
        <v>78</v>
      </c>
      <c r="R206" s="52">
        <v>24574</v>
      </c>
      <c r="S206" s="52">
        <f t="shared" si="244"/>
        <v>2516</v>
      </c>
      <c r="T206" s="58">
        <f t="shared" si="245"/>
        <v>0.11406292501586726</v>
      </c>
      <c r="U206" s="52">
        <v>21893</v>
      </c>
      <c r="V206" s="52">
        <f t="shared" si="260"/>
        <v>-2681</v>
      </c>
      <c r="W206" s="58">
        <f>V206/R206</f>
        <v>-0.10909904777407016</v>
      </c>
      <c r="X206" s="166">
        <v>29896</v>
      </c>
      <c r="Y206" s="52">
        <f t="shared" si="246"/>
        <v>8003</v>
      </c>
      <c r="Z206" s="95">
        <f>Y206/U206</f>
        <v>0.36555063262229937</v>
      </c>
      <c r="AA206" s="202">
        <v>43033</v>
      </c>
      <c r="AB206" s="172">
        <f t="shared" si="247"/>
        <v>13137</v>
      </c>
      <c r="AC206" s="100">
        <f>AB206/X206</f>
        <v>0.43942333422531443</v>
      </c>
      <c r="AD206" s="65">
        <v>46157</v>
      </c>
      <c r="AE206" s="65"/>
      <c r="AF206" s="52">
        <v>43863</v>
      </c>
      <c r="AG206" s="52">
        <f t="shared" si="248"/>
        <v>830</v>
      </c>
      <c r="AH206" s="58">
        <f t="shared" si="249"/>
        <v>1.9287523528454906E-2</v>
      </c>
      <c r="AI206" s="270">
        <v>46157</v>
      </c>
      <c r="AJ206" s="270">
        <v>46157</v>
      </c>
      <c r="AK206" s="220">
        <v>44605</v>
      </c>
      <c r="AL206" s="136"/>
      <c r="AM206" s="256">
        <f t="shared" si="250"/>
        <v>44605</v>
      </c>
      <c r="AN206" s="50">
        <v>49804</v>
      </c>
      <c r="AO206" s="220">
        <v>49804</v>
      </c>
      <c r="AS206" s="52">
        <f t="shared" si="261"/>
        <v>48246.766940000001</v>
      </c>
      <c r="AT206" s="65">
        <f t="shared" si="262"/>
        <v>4383.7669400000013</v>
      </c>
      <c r="AU206" s="51">
        <f t="shared" si="263"/>
        <v>9.9942250644050823E-2</v>
      </c>
      <c r="AV206" s="65">
        <f t="shared" si="251"/>
        <v>4383.7669400000013</v>
      </c>
      <c r="AW206" s="51">
        <f t="shared" si="252"/>
        <v>9.9942250644050823E-2</v>
      </c>
      <c r="AX206" s="52">
        <v>49804</v>
      </c>
      <c r="AY206" s="52">
        <f t="shared" si="269"/>
        <v>5941</v>
      </c>
      <c r="AZ206" s="58">
        <f t="shared" si="270"/>
        <v>0.13544445204386385</v>
      </c>
      <c r="BA206" s="616">
        <v>48819.074000000001</v>
      </c>
      <c r="BB206" s="616">
        <v>48246.766940000001</v>
      </c>
      <c r="BC206" s="616">
        <f t="shared" si="264"/>
        <v>572.30705999999918</v>
      </c>
      <c r="BD206" s="31">
        <f t="shared" si="265"/>
        <v>1.1723021620606715E-2</v>
      </c>
      <c r="BE206" s="52">
        <v>53617</v>
      </c>
      <c r="BF206" s="52">
        <f t="shared" si="253"/>
        <v>3813</v>
      </c>
      <c r="BG206" s="58">
        <f t="shared" si="254"/>
        <v>7.6560115653361183E-2</v>
      </c>
      <c r="BH206" s="65"/>
      <c r="BI206" s="65"/>
      <c r="BJ206" s="65"/>
      <c r="BK206" s="65"/>
      <c r="BL206" s="39">
        <f t="shared" si="271"/>
        <v>53617</v>
      </c>
      <c r="BM206" s="39">
        <f t="shared" si="255"/>
        <v>5370.2330599999987</v>
      </c>
      <c r="BN206" s="39">
        <v>50036</v>
      </c>
      <c r="BO206" s="534">
        <v>50036</v>
      </c>
      <c r="BP206" s="39">
        <f t="shared" si="266"/>
        <v>-3581</v>
      </c>
      <c r="BQ206" s="51">
        <f t="shared" si="256"/>
        <v>0.11130762537266914</v>
      </c>
      <c r="BR206" s="99">
        <f t="shared" si="267"/>
        <v>-6.6788518566872443E-2</v>
      </c>
      <c r="BW206" s="280">
        <f t="shared" si="268"/>
        <v>50036</v>
      </c>
      <c r="BX206" s="39">
        <f t="shared" si="257"/>
        <v>-3581</v>
      </c>
      <c r="BY206" s="51">
        <f t="shared" si="258"/>
        <v>-6.6788518566872443E-2</v>
      </c>
    </row>
    <row r="207" spans="1:77" ht="18" customHeight="1">
      <c r="A207" s="59" t="s">
        <v>93</v>
      </c>
      <c r="B207" s="325" t="s">
        <v>78</v>
      </c>
      <c r="C207" s="325" t="s">
        <v>78</v>
      </c>
      <c r="D207" s="325" t="s">
        <v>78</v>
      </c>
      <c r="E207" s="325" t="s">
        <v>78</v>
      </c>
      <c r="F207" s="326" t="s">
        <v>78</v>
      </c>
      <c r="G207" s="325" t="s">
        <v>78</v>
      </c>
      <c r="H207" s="325" t="s">
        <v>78</v>
      </c>
      <c r="I207" s="325" t="s">
        <v>78</v>
      </c>
      <c r="J207" s="325" t="s">
        <v>78</v>
      </c>
      <c r="K207" s="325" t="s">
        <v>78</v>
      </c>
      <c r="L207" s="52">
        <v>0</v>
      </c>
      <c r="M207" s="52">
        <v>0</v>
      </c>
      <c r="N207" s="60" t="s">
        <v>78</v>
      </c>
      <c r="O207" s="66">
        <v>0</v>
      </c>
      <c r="P207" s="69">
        <f t="shared" si="259"/>
        <v>0</v>
      </c>
      <c r="Q207" s="60" t="s">
        <v>78</v>
      </c>
      <c r="R207" s="52">
        <v>0</v>
      </c>
      <c r="S207" s="52">
        <v>12208</v>
      </c>
      <c r="T207" s="60" t="s">
        <v>78</v>
      </c>
      <c r="U207" s="52">
        <v>0</v>
      </c>
      <c r="V207" s="52">
        <f t="shared" si="260"/>
        <v>0</v>
      </c>
      <c r="W207" s="60" t="s">
        <v>78</v>
      </c>
      <c r="X207" s="166">
        <v>4716</v>
      </c>
      <c r="Y207" s="52">
        <f t="shared" si="246"/>
        <v>4716</v>
      </c>
      <c r="Z207" s="60" t="s">
        <v>78</v>
      </c>
      <c r="AA207" s="202">
        <v>8613</v>
      </c>
      <c r="AB207" s="172">
        <f t="shared" si="247"/>
        <v>3897</v>
      </c>
      <c r="AC207" s="100">
        <f>AB207/X207</f>
        <v>0.82633587786259544</v>
      </c>
      <c r="AD207" s="65">
        <v>8612</v>
      </c>
      <c r="AE207" s="65"/>
      <c r="AF207" s="52">
        <v>8612</v>
      </c>
      <c r="AG207" s="52">
        <f t="shared" si="248"/>
        <v>-1</v>
      </c>
      <c r="AH207" s="58">
        <f t="shared" si="249"/>
        <v>-1.1610356437942645E-4</v>
      </c>
      <c r="AI207" s="65">
        <v>8613</v>
      </c>
      <c r="AJ207" s="65">
        <v>8613</v>
      </c>
      <c r="AK207" s="50">
        <v>8613</v>
      </c>
      <c r="AL207" s="136"/>
      <c r="AM207" s="256">
        <f t="shared" si="250"/>
        <v>8613</v>
      </c>
      <c r="AN207" s="50">
        <v>8613</v>
      </c>
      <c r="AO207" s="50">
        <v>8613</v>
      </c>
      <c r="AS207" s="52">
        <f t="shared" si="261"/>
        <v>8612.9629999999997</v>
      </c>
      <c r="AT207" s="65">
        <f t="shared" si="262"/>
        <v>0.96299999999973807</v>
      </c>
      <c r="AU207" s="51">
        <f t="shared" si="263"/>
        <v>1.1182071528097284E-4</v>
      </c>
      <c r="AV207" s="65">
        <f t="shared" si="251"/>
        <v>0.96299999999973807</v>
      </c>
      <c r="AW207" s="51">
        <f t="shared" si="252"/>
        <v>1.1182071528097284E-4</v>
      </c>
      <c r="AX207" s="52">
        <v>8613</v>
      </c>
      <c r="AY207" s="52">
        <f t="shared" si="269"/>
        <v>1</v>
      </c>
      <c r="AZ207" s="58">
        <f t="shared" si="270"/>
        <v>1.1611704598235021E-4</v>
      </c>
      <c r="BA207" s="616">
        <v>8612.9629999999997</v>
      </c>
      <c r="BB207" s="616">
        <v>8612.9629999999997</v>
      </c>
      <c r="BC207" s="616">
        <f t="shared" si="264"/>
        <v>0</v>
      </c>
      <c r="BD207" s="31">
        <f t="shared" si="265"/>
        <v>0</v>
      </c>
      <c r="BE207" s="52">
        <v>8621</v>
      </c>
      <c r="BF207" s="52">
        <f t="shared" si="253"/>
        <v>8</v>
      </c>
      <c r="BG207" s="58">
        <f t="shared" si="254"/>
        <v>9.288285150354116E-4</v>
      </c>
      <c r="BH207" s="65"/>
      <c r="BI207" s="65"/>
      <c r="BJ207" s="65"/>
      <c r="BK207" s="65"/>
      <c r="BL207" s="39">
        <f t="shared" si="271"/>
        <v>8621</v>
      </c>
      <c r="BM207" s="39">
        <f t="shared" si="255"/>
        <v>8.0370000000002619</v>
      </c>
      <c r="BN207" s="39">
        <v>8626</v>
      </c>
      <c r="BO207" s="534">
        <v>8626</v>
      </c>
      <c r="BP207" s="39">
        <f t="shared" si="266"/>
        <v>5</v>
      </c>
      <c r="BQ207" s="51">
        <f t="shared" si="256"/>
        <v>9.3312835548002029E-4</v>
      </c>
      <c r="BR207" s="99">
        <f t="shared" si="267"/>
        <v>5.7997912075165292E-4</v>
      </c>
      <c r="BW207" s="280">
        <f t="shared" si="268"/>
        <v>8626</v>
      </c>
      <c r="BX207" s="39">
        <f t="shared" si="257"/>
        <v>5</v>
      </c>
      <c r="BY207" s="51">
        <f t="shared" si="258"/>
        <v>5.7997912075165292E-4</v>
      </c>
    </row>
    <row r="208" spans="1:77" ht="18" customHeight="1">
      <c r="A208" s="57" t="s">
        <v>79</v>
      </c>
      <c r="B208" s="325" t="s">
        <v>78</v>
      </c>
      <c r="C208" s="325" t="s">
        <v>78</v>
      </c>
      <c r="D208" s="325" t="s">
        <v>78</v>
      </c>
      <c r="E208" s="325" t="s">
        <v>78</v>
      </c>
      <c r="F208" s="325" t="s">
        <v>78</v>
      </c>
      <c r="G208" s="325" t="s">
        <v>78</v>
      </c>
      <c r="H208" s="325" t="s">
        <v>78</v>
      </c>
      <c r="I208" s="325" t="s">
        <v>78</v>
      </c>
      <c r="J208" s="325" t="s">
        <v>78</v>
      </c>
      <c r="K208" s="325" t="s">
        <v>78</v>
      </c>
      <c r="L208" s="52">
        <v>0</v>
      </c>
      <c r="M208" s="52">
        <v>0</v>
      </c>
      <c r="N208" s="60" t="s">
        <v>78</v>
      </c>
      <c r="O208" s="52">
        <v>375</v>
      </c>
      <c r="P208" s="69">
        <f t="shared" si="259"/>
        <v>375</v>
      </c>
      <c r="Q208" s="60" t="s">
        <v>78</v>
      </c>
      <c r="R208" s="52">
        <v>0</v>
      </c>
      <c r="S208" s="52">
        <f t="shared" ref="S208:S222" si="272">R208-O208</f>
        <v>-375</v>
      </c>
      <c r="T208" s="58">
        <f>S208/O208</f>
        <v>-1</v>
      </c>
      <c r="U208" s="52">
        <v>0</v>
      </c>
      <c r="V208" s="52">
        <f t="shared" si="260"/>
        <v>0</v>
      </c>
      <c r="W208" s="60" t="s">
        <v>78</v>
      </c>
      <c r="Y208" s="52">
        <f t="shared" si="246"/>
        <v>0</v>
      </c>
      <c r="Z208" s="60" t="s">
        <v>78</v>
      </c>
      <c r="AB208" s="172">
        <f t="shared" si="247"/>
        <v>0</v>
      </c>
      <c r="AC208" s="70" t="s">
        <v>78</v>
      </c>
      <c r="AG208" s="52">
        <f t="shared" si="248"/>
        <v>0</v>
      </c>
      <c r="AH208" s="58" t="e">
        <f t="shared" si="249"/>
        <v>#DIV/0!</v>
      </c>
      <c r="AI208" s="261">
        <v>0</v>
      </c>
      <c r="AJ208" s="261">
        <v>0</v>
      </c>
      <c r="AL208" s="136"/>
      <c r="AM208" s="256">
        <f t="shared" si="250"/>
        <v>0</v>
      </c>
      <c r="AS208" s="52">
        <f t="shared" si="261"/>
        <v>0</v>
      </c>
      <c r="AT208" s="65">
        <f t="shared" si="262"/>
        <v>0</v>
      </c>
      <c r="AU208" s="51" t="e">
        <f t="shared" si="263"/>
        <v>#DIV/0!</v>
      </c>
      <c r="AV208" s="65">
        <f t="shared" si="251"/>
        <v>0</v>
      </c>
      <c r="AW208" s="51" t="e">
        <f t="shared" si="252"/>
        <v>#DIV/0!</v>
      </c>
      <c r="AY208" s="52">
        <f t="shared" si="269"/>
        <v>0</v>
      </c>
      <c r="AZ208" s="58" t="e">
        <f t="shared" si="270"/>
        <v>#DIV/0!</v>
      </c>
      <c r="BC208" s="616">
        <f t="shared" si="264"/>
        <v>0</v>
      </c>
      <c r="BD208" s="31"/>
      <c r="BF208" s="52">
        <f t="shared" si="253"/>
        <v>0</v>
      </c>
      <c r="BG208" s="58" t="e">
        <f t="shared" si="254"/>
        <v>#DIV/0!</v>
      </c>
      <c r="BH208" s="65"/>
      <c r="BI208" s="65"/>
      <c r="BJ208" s="65"/>
      <c r="BK208" s="65"/>
      <c r="BL208" s="39">
        <f t="shared" si="271"/>
        <v>0</v>
      </c>
      <c r="BM208" s="39">
        <f t="shared" si="255"/>
        <v>0</v>
      </c>
      <c r="BN208" s="39">
        <v>0</v>
      </c>
      <c r="BO208" s="534"/>
      <c r="BP208" s="39">
        <f t="shared" si="266"/>
        <v>0</v>
      </c>
      <c r="BQ208" s="51" t="e">
        <f t="shared" si="256"/>
        <v>#DIV/0!</v>
      </c>
      <c r="BR208" s="99" t="e">
        <f t="shared" si="267"/>
        <v>#DIV/0!</v>
      </c>
      <c r="BW208" s="280">
        <f t="shared" si="268"/>
        <v>0</v>
      </c>
      <c r="BX208" s="39">
        <f t="shared" si="257"/>
        <v>0</v>
      </c>
      <c r="BY208" s="51" t="e">
        <f t="shared" si="258"/>
        <v>#DIV/0!</v>
      </c>
    </row>
    <row r="209" spans="1:77" ht="18" customHeight="1">
      <c r="A209" s="57" t="s">
        <v>146</v>
      </c>
      <c r="B209" s="325" t="s">
        <v>78</v>
      </c>
      <c r="C209" s="325" t="s">
        <v>78</v>
      </c>
      <c r="D209" s="325" t="s">
        <v>78</v>
      </c>
      <c r="E209" s="325" t="s">
        <v>78</v>
      </c>
      <c r="F209" s="325" t="s">
        <v>78</v>
      </c>
      <c r="G209" s="325" t="s">
        <v>78</v>
      </c>
      <c r="H209" s="325" t="s">
        <v>78</v>
      </c>
      <c r="I209" s="325" t="s">
        <v>78</v>
      </c>
      <c r="J209" s="325" t="s">
        <v>78</v>
      </c>
      <c r="K209" s="325" t="s">
        <v>78</v>
      </c>
      <c r="L209" s="52">
        <v>0</v>
      </c>
      <c r="M209" s="52">
        <v>0</v>
      </c>
      <c r="N209" s="60" t="s">
        <v>78</v>
      </c>
      <c r="O209" s="52">
        <v>20550</v>
      </c>
      <c r="P209" s="69">
        <f t="shared" si="259"/>
        <v>20550</v>
      </c>
      <c r="Q209" s="60" t="s">
        <v>78</v>
      </c>
      <c r="R209" s="52">
        <v>265023</v>
      </c>
      <c r="S209" s="52">
        <f t="shared" si="272"/>
        <v>244473</v>
      </c>
      <c r="T209" s="58">
        <f>S209/O209</f>
        <v>11.896496350364963</v>
      </c>
      <c r="U209" s="52">
        <v>118861</v>
      </c>
      <c r="V209" s="52">
        <f t="shared" si="260"/>
        <v>-146162</v>
      </c>
      <c r="W209" s="60">
        <f>V209/R209</f>
        <v>-0.55150685034883762</v>
      </c>
      <c r="X209" s="166">
        <v>140737</v>
      </c>
      <c r="Y209" s="52">
        <f t="shared" si="246"/>
        <v>21876</v>
      </c>
      <c r="Z209" s="95">
        <f>Y209/U209</f>
        <v>0.18404691193915582</v>
      </c>
      <c r="AA209" s="202">
        <v>125014</v>
      </c>
      <c r="AB209" s="172">
        <f t="shared" si="247"/>
        <v>-15723</v>
      </c>
      <c r="AC209" s="100">
        <f>AB209/X209</f>
        <v>-0.11171902200558488</v>
      </c>
      <c r="AD209" s="219">
        <v>0</v>
      </c>
      <c r="AE209" s="219">
        <v>2984</v>
      </c>
      <c r="AF209" s="52">
        <v>14933</v>
      </c>
      <c r="AG209" s="52">
        <f t="shared" si="248"/>
        <v>-110081</v>
      </c>
      <c r="AH209" s="58">
        <f t="shared" si="249"/>
        <v>-0.88054937846961145</v>
      </c>
      <c r="AI209" s="261">
        <v>2984</v>
      </c>
      <c r="AJ209" s="261">
        <v>2984</v>
      </c>
      <c r="AL209" s="136"/>
      <c r="AM209" s="256">
        <f t="shared" si="250"/>
        <v>0</v>
      </c>
      <c r="AN209" s="50">
        <v>0</v>
      </c>
      <c r="AO209" s="220">
        <v>7900</v>
      </c>
      <c r="AS209" s="52">
        <f t="shared" si="261"/>
        <v>18696.287</v>
      </c>
      <c r="AT209" s="65">
        <f t="shared" si="262"/>
        <v>3763.2870000000003</v>
      </c>
      <c r="AU209" s="51">
        <f t="shared" si="263"/>
        <v>0.25201145114846313</v>
      </c>
      <c r="AV209" s="65">
        <f t="shared" si="251"/>
        <v>3763.2870000000003</v>
      </c>
      <c r="AW209" s="51">
        <f t="shared" si="252"/>
        <v>0.25201145114846313</v>
      </c>
      <c r="AX209" s="52">
        <v>12071</v>
      </c>
      <c r="AY209" s="52">
        <f t="shared" si="269"/>
        <v>-2862</v>
      </c>
      <c r="AZ209" s="58">
        <f t="shared" si="270"/>
        <v>-0.19165606375142302</v>
      </c>
      <c r="BA209" s="616">
        <f>18683.244+13.043</f>
        <v>18696.287</v>
      </c>
      <c r="BB209" s="616">
        <f>18683.244+13.043</f>
        <v>18696.287</v>
      </c>
      <c r="BC209" s="616">
        <f t="shared" si="264"/>
        <v>0</v>
      </c>
      <c r="BD209" s="31">
        <f t="shared" si="265"/>
        <v>0</v>
      </c>
      <c r="BE209" s="52">
        <v>37448</v>
      </c>
      <c r="BF209" s="52">
        <f t="shared" si="253"/>
        <v>25377</v>
      </c>
      <c r="BG209" s="58">
        <f t="shared" si="254"/>
        <v>2.1023113246624141</v>
      </c>
      <c r="BH209" s="65"/>
      <c r="BI209" s="65"/>
      <c r="BJ209" s="65"/>
      <c r="BK209" s="65"/>
      <c r="BL209" s="39">
        <f t="shared" si="271"/>
        <v>37448</v>
      </c>
      <c r="BM209" s="39">
        <f t="shared" si="255"/>
        <v>18751.713</v>
      </c>
      <c r="BN209" s="39">
        <v>31533</v>
      </c>
      <c r="BO209" s="534">
        <v>35803</v>
      </c>
      <c r="BP209" s="39">
        <f t="shared" si="266"/>
        <v>-1645</v>
      </c>
      <c r="BQ209" s="51">
        <f t="shared" si="256"/>
        <v>1.0029645458480605</v>
      </c>
      <c r="BR209" s="99">
        <f t="shared" si="267"/>
        <v>-4.3927579577013459E-2</v>
      </c>
      <c r="BW209" s="280">
        <f t="shared" si="268"/>
        <v>31533</v>
      </c>
      <c r="BX209" s="39">
        <f t="shared" si="257"/>
        <v>-5915</v>
      </c>
      <c r="BY209" s="51">
        <f t="shared" si="258"/>
        <v>-0.15795236060670798</v>
      </c>
    </row>
    <row r="210" spans="1:77" ht="18" customHeight="1">
      <c r="A210" s="57" t="s">
        <v>40</v>
      </c>
      <c r="B210" s="322">
        <v>0</v>
      </c>
      <c r="C210" s="322">
        <v>0</v>
      </c>
      <c r="D210" s="323">
        <f t="shared" si="233"/>
        <v>0</v>
      </c>
      <c r="E210" s="325" t="s">
        <v>78</v>
      </c>
      <c r="F210" s="10">
        <v>0</v>
      </c>
      <c r="G210" s="10">
        <f t="shared" si="234"/>
        <v>0</v>
      </c>
      <c r="H210" s="325" t="s">
        <v>78</v>
      </c>
      <c r="I210" s="325">
        <v>0</v>
      </c>
      <c r="J210" s="10">
        <f t="shared" si="235"/>
        <v>0</v>
      </c>
      <c r="K210" s="325" t="s">
        <v>78</v>
      </c>
      <c r="L210" s="52">
        <v>0</v>
      </c>
      <c r="M210" s="52">
        <v>0</v>
      </c>
      <c r="N210" s="60" t="s">
        <v>78</v>
      </c>
      <c r="O210" s="52">
        <v>0</v>
      </c>
      <c r="P210" s="69">
        <f t="shared" si="259"/>
        <v>0</v>
      </c>
      <c r="Q210" s="60" t="s">
        <v>78</v>
      </c>
      <c r="R210" s="52">
        <v>0</v>
      </c>
      <c r="S210" s="52">
        <f t="shared" si="272"/>
        <v>0</v>
      </c>
      <c r="T210" s="60" t="s">
        <v>78</v>
      </c>
      <c r="U210" s="52">
        <v>0</v>
      </c>
      <c r="V210" s="52">
        <f t="shared" si="260"/>
        <v>0</v>
      </c>
      <c r="W210" s="60" t="s">
        <v>78</v>
      </c>
      <c r="Y210" s="52">
        <f t="shared" si="246"/>
        <v>0</v>
      </c>
      <c r="Z210" s="60" t="s">
        <v>78</v>
      </c>
      <c r="AB210" s="172">
        <f t="shared" si="247"/>
        <v>0</v>
      </c>
      <c r="AC210" s="100" t="e">
        <f>AB210/X210</f>
        <v>#DIV/0!</v>
      </c>
      <c r="AG210" s="52">
        <f t="shared" si="248"/>
        <v>0</v>
      </c>
      <c r="AH210" s="58" t="e">
        <f t="shared" si="249"/>
        <v>#DIV/0!</v>
      </c>
      <c r="AI210" s="261">
        <v>0</v>
      </c>
      <c r="AJ210" s="261">
        <v>0</v>
      </c>
      <c r="AL210" s="136"/>
      <c r="AM210" s="256">
        <f t="shared" si="250"/>
        <v>0</v>
      </c>
      <c r="AS210" s="52">
        <f t="shared" si="261"/>
        <v>0</v>
      </c>
      <c r="AT210" s="65">
        <f t="shared" si="262"/>
        <v>0</v>
      </c>
      <c r="AU210" s="51" t="e">
        <f t="shared" si="263"/>
        <v>#DIV/0!</v>
      </c>
      <c r="AV210" s="65">
        <f t="shared" si="251"/>
        <v>0</v>
      </c>
      <c r="AW210" s="51" t="e">
        <f t="shared" si="252"/>
        <v>#DIV/0!</v>
      </c>
      <c r="AY210" s="52">
        <f t="shared" si="269"/>
        <v>0</v>
      </c>
      <c r="AZ210" s="58" t="e">
        <f t="shared" si="270"/>
        <v>#DIV/0!</v>
      </c>
      <c r="BC210" s="616">
        <f t="shared" si="264"/>
        <v>0</v>
      </c>
      <c r="BD210" s="31"/>
      <c r="BE210" s="52">
        <v>0</v>
      </c>
      <c r="BF210" s="52">
        <f t="shared" si="253"/>
        <v>0</v>
      </c>
      <c r="BG210" s="58" t="e">
        <f t="shared" si="254"/>
        <v>#DIV/0!</v>
      </c>
      <c r="BH210" s="65"/>
      <c r="BI210" s="65"/>
      <c r="BJ210" s="65"/>
      <c r="BK210" s="65"/>
      <c r="BL210" s="39">
        <f t="shared" si="271"/>
        <v>0</v>
      </c>
      <c r="BM210" s="39">
        <f t="shared" si="255"/>
        <v>0</v>
      </c>
      <c r="BN210" s="39">
        <v>0</v>
      </c>
      <c r="BO210" s="534"/>
      <c r="BP210" s="39">
        <f t="shared" si="266"/>
        <v>0</v>
      </c>
      <c r="BQ210" s="51" t="e">
        <f t="shared" si="256"/>
        <v>#DIV/0!</v>
      </c>
      <c r="BR210" s="99" t="e">
        <f t="shared" si="267"/>
        <v>#DIV/0!</v>
      </c>
      <c r="BW210" s="280">
        <f t="shared" si="268"/>
        <v>0</v>
      </c>
      <c r="BX210" s="39">
        <f t="shared" si="257"/>
        <v>0</v>
      </c>
      <c r="BY210" s="51" t="e">
        <f t="shared" si="258"/>
        <v>#DIV/0!</v>
      </c>
    </row>
    <row r="211" spans="1:77" s="63" customFormat="1" ht="18" customHeight="1">
      <c r="A211" s="53" t="s">
        <v>75</v>
      </c>
      <c r="B211" s="325" t="s">
        <v>78</v>
      </c>
      <c r="C211" s="325" t="s">
        <v>78</v>
      </c>
      <c r="D211" s="325" t="s">
        <v>78</v>
      </c>
      <c r="E211" s="325" t="s">
        <v>78</v>
      </c>
      <c r="F211" s="330" t="s">
        <v>78</v>
      </c>
      <c r="G211" s="330" t="s">
        <v>78</v>
      </c>
      <c r="H211" s="325" t="s">
        <v>78</v>
      </c>
      <c r="I211" s="330" t="s">
        <v>78</v>
      </c>
      <c r="J211" s="330" t="s">
        <v>78</v>
      </c>
      <c r="K211" s="325" t="s">
        <v>78</v>
      </c>
      <c r="L211" s="52">
        <v>0</v>
      </c>
      <c r="M211" s="52">
        <v>0</v>
      </c>
      <c r="N211" s="60" t="s">
        <v>78</v>
      </c>
      <c r="O211" s="69">
        <v>4935</v>
      </c>
      <c r="P211" s="69">
        <f t="shared" si="259"/>
        <v>4935</v>
      </c>
      <c r="Q211" s="60" t="s">
        <v>78</v>
      </c>
      <c r="R211" s="52">
        <v>9196</v>
      </c>
      <c r="S211" s="52">
        <f t="shared" si="272"/>
        <v>4261</v>
      </c>
      <c r="T211" s="58">
        <f>S211/O211</f>
        <v>0.86342451874366766</v>
      </c>
      <c r="U211" s="52">
        <v>6406</v>
      </c>
      <c r="V211" s="52">
        <f t="shared" si="260"/>
        <v>-2790</v>
      </c>
      <c r="W211" s="60">
        <f>V211/R211</f>
        <v>-0.30339277946933452</v>
      </c>
      <c r="X211" s="166">
        <v>16216</v>
      </c>
      <c r="Y211" s="52">
        <f t="shared" si="246"/>
        <v>9810</v>
      </c>
      <c r="Z211" s="95">
        <f>Y211/U211</f>
        <v>1.5313768342179206</v>
      </c>
      <c r="AA211" s="202">
        <v>15000</v>
      </c>
      <c r="AB211" s="172">
        <f t="shared" si="247"/>
        <v>-1216</v>
      </c>
      <c r="AC211" s="100">
        <f>AB211/X211</f>
        <v>-7.4987666502220024E-2</v>
      </c>
      <c r="AD211" s="80">
        <v>15000</v>
      </c>
      <c r="AE211" s="80"/>
      <c r="AF211" s="52">
        <v>6514</v>
      </c>
      <c r="AG211" s="52">
        <f t="shared" si="248"/>
        <v>-8486</v>
      </c>
      <c r="AH211" s="58">
        <f t="shared" si="249"/>
        <v>-0.56573333333333331</v>
      </c>
      <c r="AI211" s="80">
        <v>15000</v>
      </c>
      <c r="AJ211" s="80">
        <v>15000</v>
      </c>
      <c r="AK211" s="63">
        <v>15000</v>
      </c>
      <c r="AL211" s="136"/>
      <c r="AM211" s="256">
        <f t="shared" si="250"/>
        <v>15000</v>
      </c>
      <c r="AN211" s="63">
        <v>15000</v>
      </c>
      <c r="AO211" s="63">
        <v>15000</v>
      </c>
      <c r="AR211" s="50"/>
      <c r="AS211" s="52">
        <f t="shared" si="261"/>
        <v>5884.4930599999998</v>
      </c>
      <c r="AT211" s="65">
        <f t="shared" si="262"/>
        <v>-629.50694000000021</v>
      </c>
      <c r="AU211" s="51">
        <f t="shared" si="263"/>
        <v>-9.6639075836659538E-2</v>
      </c>
      <c r="AV211" s="65">
        <f t="shared" si="251"/>
        <v>-629.50694000000021</v>
      </c>
      <c r="AW211" s="51">
        <f t="shared" si="252"/>
        <v>-9.6639075836659538E-2</v>
      </c>
      <c r="AX211" s="69">
        <v>15000</v>
      </c>
      <c r="AY211" s="52">
        <f t="shared" si="269"/>
        <v>8486</v>
      </c>
      <c r="AZ211" s="58">
        <f t="shared" si="270"/>
        <v>1.3027325759901751</v>
      </c>
      <c r="BA211" s="616">
        <v>15000</v>
      </c>
      <c r="BB211" s="616">
        <v>5884.4930599999998</v>
      </c>
      <c r="BC211" s="616">
        <f t="shared" si="264"/>
        <v>9115.5069399999993</v>
      </c>
      <c r="BD211" s="31">
        <f t="shared" si="265"/>
        <v>0.60770046266666666</v>
      </c>
      <c r="BE211" s="69">
        <v>6000</v>
      </c>
      <c r="BF211" s="52">
        <f t="shared" si="253"/>
        <v>-9000</v>
      </c>
      <c r="BG211" s="58">
        <f t="shared" si="254"/>
        <v>-0.6</v>
      </c>
      <c r="BH211" s="65"/>
      <c r="BI211" s="65"/>
      <c r="BJ211" s="65"/>
      <c r="BK211" s="65"/>
      <c r="BL211" s="39">
        <f t="shared" si="271"/>
        <v>6000</v>
      </c>
      <c r="BM211" s="39">
        <f t="shared" si="255"/>
        <v>115.50694000000021</v>
      </c>
      <c r="BN211" s="39">
        <v>6000</v>
      </c>
      <c r="BO211" s="534">
        <v>6000</v>
      </c>
      <c r="BP211" s="39">
        <f t="shared" si="266"/>
        <v>0</v>
      </c>
      <c r="BQ211" s="51">
        <f t="shared" si="256"/>
        <v>1.9629038359338335E-2</v>
      </c>
      <c r="BR211" s="99">
        <f t="shared" si="267"/>
        <v>0</v>
      </c>
      <c r="BS211" s="40"/>
      <c r="BW211" s="280">
        <f t="shared" si="268"/>
        <v>6000</v>
      </c>
      <c r="BX211" s="39">
        <f t="shared" si="257"/>
        <v>0</v>
      </c>
      <c r="BY211" s="51">
        <f t="shared" si="258"/>
        <v>0</v>
      </c>
    </row>
    <row r="212" spans="1:77" s="63" customFormat="1" ht="18" customHeight="1">
      <c r="A212" s="53" t="s">
        <v>81</v>
      </c>
      <c r="B212" s="325" t="s">
        <v>78</v>
      </c>
      <c r="C212" s="325" t="s">
        <v>78</v>
      </c>
      <c r="D212" s="325" t="s">
        <v>78</v>
      </c>
      <c r="E212" s="325" t="s">
        <v>78</v>
      </c>
      <c r="F212" s="340" t="s">
        <v>78</v>
      </c>
      <c r="G212" s="330" t="s">
        <v>78</v>
      </c>
      <c r="H212" s="325" t="s">
        <v>78</v>
      </c>
      <c r="I212" s="340" t="s">
        <v>78</v>
      </c>
      <c r="J212" s="330" t="s">
        <v>78</v>
      </c>
      <c r="K212" s="325" t="s">
        <v>78</v>
      </c>
      <c r="L212" s="69">
        <v>65896</v>
      </c>
      <c r="M212" s="52">
        <v>65896</v>
      </c>
      <c r="N212" s="60" t="s">
        <v>78</v>
      </c>
      <c r="O212" s="81">
        <v>0</v>
      </c>
      <c r="P212" s="69">
        <f t="shared" si="259"/>
        <v>-65896</v>
      </c>
      <c r="Q212" s="58">
        <f>P212/L212</f>
        <v>-1</v>
      </c>
      <c r="R212" s="52">
        <v>0</v>
      </c>
      <c r="S212" s="52">
        <f t="shared" si="272"/>
        <v>0</v>
      </c>
      <c r="T212" s="60" t="s">
        <v>78</v>
      </c>
      <c r="U212" s="52">
        <v>0</v>
      </c>
      <c r="V212" s="52">
        <f t="shared" si="260"/>
        <v>0</v>
      </c>
      <c r="W212" s="60" t="s">
        <v>78</v>
      </c>
      <c r="X212" s="166"/>
      <c r="Y212" s="52"/>
      <c r="Z212" s="95"/>
      <c r="AA212" s="202"/>
      <c r="AB212" s="172"/>
      <c r="AC212" s="100"/>
      <c r="AF212" s="52"/>
      <c r="AG212" s="52">
        <f t="shared" si="248"/>
        <v>0</v>
      </c>
      <c r="AH212" s="58" t="e">
        <f t="shared" si="249"/>
        <v>#DIV/0!</v>
      </c>
      <c r="AL212" s="136"/>
      <c r="AM212" s="256">
        <f t="shared" si="250"/>
        <v>0</v>
      </c>
      <c r="AR212" s="50"/>
      <c r="AS212" s="52">
        <f t="shared" si="261"/>
        <v>0</v>
      </c>
      <c r="AT212" s="65">
        <f t="shared" si="262"/>
        <v>0</v>
      </c>
      <c r="AU212" s="51" t="e">
        <f t="shared" si="263"/>
        <v>#DIV/0!</v>
      </c>
      <c r="AV212" s="65">
        <f t="shared" si="251"/>
        <v>0</v>
      </c>
      <c r="AW212" s="51" t="e">
        <f t="shared" si="252"/>
        <v>#DIV/0!</v>
      </c>
      <c r="AX212" s="69"/>
      <c r="AY212" s="52">
        <f t="shared" si="269"/>
        <v>0</v>
      </c>
      <c r="AZ212" s="58" t="e">
        <f t="shared" si="270"/>
        <v>#DIV/0!</v>
      </c>
      <c r="BA212" s="58"/>
      <c r="BB212" s="58"/>
      <c r="BC212" s="616">
        <f t="shared" si="264"/>
        <v>0</v>
      </c>
      <c r="BD212" s="31"/>
      <c r="BE212" s="69">
        <v>0</v>
      </c>
      <c r="BF212" s="52">
        <f t="shared" si="253"/>
        <v>0</v>
      </c>
      <c r="BG212" s="58" t="e">
        <f t="shared" si="254"/>
        <v>#DIV/0!</v>
      </c>
      <c r="BH212" s="65"/>
      <c r="BI212" s="65"/>
      <c r="BJ212" s="65"/>
      <c r="BK212" s="65"/>
      <c r="BL212" s="39">
        <f t="shared" si="271"/>
        <v>0</v>
      </c>
      <c r="BM212" s="39">
        <f t="shared" si="255"/>
        <v>0</v>
      </c>
      <c r="BN212" s="39">
        <v>0</v>
      </c>
      <c r="BO212" s="534"/>
      <c r="BP212" s="39">
        <f t="shared" si="266"/>
        <v>0</v>
      </c>
      <c r="BQ212" s="51" t="e">
        <f t="shared" si="256"/>
        <v>#DIV/0!</v>
      </c>
      <c r="BR212" s="99" t="e">
        <f t="shared" si="267"/>
        <v>#DIV/0!</v>
      </c>
      <c r="BS212" s="40"/>
      <c r="BW212" s="280">
        <f t="shared" si="268"/>
        <v>0</v>
      </c>
      <c r="BX212" s="39">
        <f t="shared" si="257"/>
        <v>0</v>
      </c>
      <c r="BY212" s="51" t="e">
        <f t="shared" si="258"/>
        <v>#DIV/0!</v>
      </c>
    </row>
    <row r="213" spans="1:77" s="63" customFormat="1" ht="18" customHeight="1">
      <c r="A213" s="53" t="s">
        <v>88</v>
      </c>
      <c r="B213" s="325" t="s">
        <v>78</v>
      </c>
      <c r="C213" s="325" t="s">
        <v>78</v>
      </c>
      <c r="D213" s="325" t="s">
        <v>78</v>
      </c>
      <c r="E213" s="325" t="s">
        <v>78</v>
      </c>
      <c r="F213" s="325" t="s">
        <v>78</v>
      </c>
      <c r="G213" s="330" t="s">
        <v>78</v>
      </c>
      <c r="H213" s="325" t="s">
        <v>78</v>
      </c>
      <c r="I213" s="325" t="s">
        <v>78</v>
      </c>
      <c r="J213" s="330" t="s">
        <v>78</v>
      </c>
      <c r="K213" s="325" t="s">
        <v>78</v>
      </c>
      <c r="L213" s="69">
        <v>0</v>
      </c>
      <c r="M213" s="52">
        <v>0</v>
      </c>
      <c r="N213" s="60" t="s">
        <v>78</v>
      </c>
      <c r="O213" s="81">
        <v>0</v>
      </c>
      <c r="P213" s="69">
        <f t="shared" si="259"/>
        <v>0</v>
      </c>
      <c r="Q213" s="70" t="s">
        <v>78</v>
      </c>
      <c r="R213" s="52">
        <v>138000</v>
      </c>
      <c r="S213" s="52">
        <f t="shared" si="272"/>
        <v>138000</v>
      </c>
      <c r="T213" s="70" t="s">
        <v>78</v>
      </c>
      <c r="U213" s="52">
        <v>4700</v>
      </c>
      <c r="V213" s="69">
        <f t="shared" si="260"/>
        <v>-133300</v>
      </c>
      <c r="W213" s="72">
        <f>V213/R213</f>
        <v>-0.96594202898550729</v>
      </c>
      <c r="X213" s="166">
        <v>110907</v>
      </c>
      <c r="Y213" s="52">
        <f>X213-U213</f>
        <v>106207</v>
      </c>
      <c r="Z213" s="95">
        <f>Y213/U213</f>
        <v>22.597234042553193</v>
      </c>
      <c r="AA213" s="205">
        <v>81100</v>
      </c>
      <c r="AB213" s="172">
        <f>AA212-X213</f>
        <v>-110907</v>
      </c>
      <c r="AC213" s="100">
        <f>AB213/X213</f>
        <v>-1</v>
      </c>
      <c r="AD213" s="80">
        <v>90700</v>
      </c>
      <c r="AE213" s="80"/>
      <c r="AF213" s="52">
        <v>90700</v>
      </c>
      <c r="AG213" s="52">
        <f t="shared" si="248"/>
        <v>9600</v>
      </c>
      <c r="AH213" s="58">
        <f t="shared" si="249"/>
        <v>0.11837237977805179</v>
      </c>
      <c r="AI213" s="63">
        <v>90700</v>
      </c>
      <c r="AJ213" s="63">
        <v>90700</v>
      </c>
      <c r="AK213" s="63">
        <v>96700</v>
      </c>
      <c r="AL213" s="136"/>
      <c r="AM213" s="256">
        <f t="shared" si="250"/>
        <v>96700</v>
      </c>
      <c r="AN213" s="63">
        <v>98700</v>
      </c>
      <c r="AO213" s="63">
        <v>98700</v>
      </c>
      <c r="AR213" s="50"/>
      <c r="AS213" s="52">
        <f t="shared" si="261"/>
        <v>94200</v>
      </c>
      <c r="AT213" s="65">
        <f t="shared" si="262"/>
        <v>3500</v>
      </c>
      <c r="AU213" s="51">
        <f t="shared" si="263"/>
        <v>3.8588754134509372E-2</v>
      </c>
      <c r="AV213" s="65">
        <f t="shared" si="251"/>
        <v>3500</v>
      </c>
      <c r="AW213" s="51">
        <f t="shared" si="252"/>
        <v>3.8588754134509372E-2</v>
      </c>
      <c r="AX213" s="69">
        <v>98700</v>
      </c>
      <c r="AY213" s="52">
        <f t="shared" si="269"/>
        <v>8000</v>
      </c>
      <c r="AZ213" s="58">
        <f t="shared" si="270"/>
        <v>8.8202866593164272E-2</v>
      </c>
      <c r="BA213" s="616">
        <v>98700</v>
      </c>
      <c r="BB213" s="616">
        <v>94200</v>
      </c>
      <c r="BC213" s="616">
        <f t="shared" si="264"/>
        <v>4500</v>
      </c>
      <c r="BD213" s="31">
        <f t="shared" si="265"/>
        <v>4.5592705167173252E-2</v>
      </c>
      <c r="BE213" s="69">
        <v>109800</v>
      </c>
      <c r="BF213" s="52">
        <f t="shared" si="253"/>
        <v>11100</v>
      </c>
      <c r="BG213" s="58">
        <f t="shared" si="254"/>
        <v>0.11246200607902736</v>
      </c>
      <c r="BH213" s="65"/>
      <c r="BI213" s="65"/>
      <c r="BJ213" s="65"/>
      <c r="BK213" s="65"/>
      <c r="BL213" s="39">
        <f t="shared" si="271"/>
        <v>109800</v>
      </c>
      <c r="BM213" s="39">
        <f t="shared" si="255"/>
        <v>15600</v>
      </c>
      <c r="BN213" s="39">
        <v>107800</v>
      </c>
      <c r="BO213" s="534">
        <v>107800</v>
      </c>
      <c r="BP213" s="39">
        <f t="shared" si="266"/>
        <v>-2000</v>
      </c>
      <c r="BQ213" s="51">
        <f t="shared" si="256"/>
        <v>0.16560509554140126</v>
      </c>
      <c r="BR213" s="99">
        <f t="shared" si="267"/>
        <v>-1.8214936247723135E-2</v>
      </c>
      <c r="BS213" s="40"/>
      <c r="BW213" s="280">
        <f t="shared" si="268"/>
        <v>107800</v>
      </c>
      <c r="BX213" s="39">
        <f t="shared" si="257"/>
        <v>-2000</v>
      </c>
      <c r="BY213" s="51">
        <f t="shared" si="258"/>
        <v>-1.8214936247723135E-2</v>
      </c>
    </row>
    <row r="214" spans="1:77" s="63" customFormat="1" ht="18" customHeight="1">
      <c r="A214" s="245" t="s">
        <v>105</v>
      </c>
      <c r="B214" s="325"/>
      <c r="C214" s="325"/>
      <c r="D214" s="323">
        <f t="shared" si="233"/>
        <v>0</v>
      </c>
      <c r="E214" s="325" t="s">
        <v>78</v>
      </c>
      <c r="F214" s="327"/>
      <c r="G214" s="10">
        <f t="shared" si="234"/>
        <v>0</v>
      </c>
      <c r="H214" s="325" t="s">
        <v>78</v>
      </c>
      <c r="I214" s="327"/>
      <c r="J214" s="10">
        <f t="shared" si="235"/>
        <v>0</v>
      </c>
      <c r="K214" s="325" t="s">
        <v>78</v>
      </c>
      <c r="L214" s="69">
        <v>0</v>
      </c>
      <c r="M214" s="52">
        <v>0</v>
      </c>
      <c r="N214" s="60" t="s">
        <v>78</v>
      </c>
      <c r="O214" s="81">
        <v>0</v>
      </c>
      <c r="P214" s="69">
        <f t="shared" si="259"/>
        <v>0</v>
      </c>
      <c r="Q214" s="60" t="s">
        <v>78</v>
      </c>
      <c r="R214" s="52">
        <v>0</v>
      </c>
      <c r="S214" s="52">
        <f t="shared" si="272"/>
        <v>0</v>
      </c>
      <c r="T214" s="60" t="s">
        <v>78</v>
      </c>
      <c r="U214" s="52">
        <v>0</v>
      </c>
      <c r="V214" s="69">
        <f t="shared" si="260"/>
        <v>0</v>
      </c>
      <c r="W214" s="60" t="s">
        <v>78</v>
      </c>
      <c r="X214" s="166">
        <v>2512</v>
      </c>
      <c r="Y214" s="52">
        <f>X214-U214</f>
        <v>2512</v>
      </c>
      <c r="Z214" s="60" t="s">
        <v>78</v>
      </c>
      <c r="AA214" s="202">
        <v>6000</v>
      </c>
      <c r="AB214" s="172">
        <f>AA213-X214</f>
        <v>78588</v>
      </c>
      <c r="AC214" s="100">
        <f>AB214/X214</f>
        <v>31.285031847133759</v>
      </c>
      <c r="AD214" s="245">
        <v>0</v>
      </c>
      <c r="AE214" s="245">
        <v>4861</v>
      </c>
      <c r="AF214" s="52">
        <v>2149</v>
      </c>
      <c r="AG214" s="52">
        <f t="shared" si="248"/>
        <v>-3851</v>
      </c>
      <c r="AH214" s="58">
        <f t="shared" si="249"/>
        <v>-0.64183333333333337</v>
      </c>
      <c r="AI214" s="63">
        <v>0</v>
      </c>
      <c r="AJ214" s="80">
        <v>4861</v>
      </c>
      <c r="AK214" s="63">
        <v>0</v>
      </c>
      <c r="AL214" s="136"/>
      <c r="AM214" s="256">
        <f t="shared" si="250"/>
        <v>0</v>
      </c>
      <c r="AN214" s="63">
        <v>0</v>
      </c>
      <c r="AO214" s="63">
        <v>7574</v>
      </c>
      <c r="AR214" s="50"/>
      <c r="AS214" s="52">
        <f t="shared" si="261"/>
        <v>4782.4245799999999</v>
      </c>
      <c r="AT214" s="65">
        <f t="shared" si="262"/>
        <v>2633.4245799999999</v>
      </c>
      <c r="AU214" s="51">
        <f t="shared" si="263"/>
        <v>1.2254186040018613</v>
      </c>
      <c r="AV214" s="65">
        <f t="shared" si="251"/>
        <v>2633.4245799999999</v>
      </c>
      <c r="AW214" s="51">
        <f t="shared" si="252"/>
        <v>1.2254186040018613</v>
      </c>
      <c r="AX214" s="69">
        <v>7574</v>
      </c>
      <c r="AY214" s="52">
        <f t="shared" si="269"/>
        <v>5425</v>
      </c>
      <c r="AZ214" s="58">
        <f t="shared" si="270"/>
        <v>2.5244299674267099</v>
      </c>
      <c r="BA214" s="616">
        <v>7574.2250000000004</v>
      </c>
      <c r="BB214" s="616">
        <v>4782.4245799999999</v>
      </c>
      <c r="BC214" s="616">
        <f t="shared" si="264"/>
        <v>2791.8004200000005</v>
      </c>
      <c r="BD214" s="31">
        <f t="shared" si="265"/>
        <v>0.36859222164643912</v>
      </c>
      <c r="BE214" s="69">
        <v>6691</v>
      </c>
      <c r="BF214" s="52">
        <f t="shared" si="253"/>
        <v>-883</v>
      </c>
      <c r="BG214" s="58">
        <f t="shared" si="254"/>
        <v>-0.11658304726696593</v>
      </c>
      <c r="BH214" s="65"/>
      <c r="BI214" s="65"/>
      <c r="BJ214" s="65"/>
      <c r="BK214" s="65"/>
      <c r="BL214" s="39">
        <f t="shared" si="271"/>
        <v>6691</v>
      </c>
      <c r="BM214" s="39">
        <f t="shared" si="255"/>
        <v>1908.5754200000001</v>
      </c>
      <c r="BN214" s="39">
        <v>8222</v>
      </c>
      <c r="BO214" s="534">
        <v>8222</v>
      </c>
      <c r="BP214" s="39">
        <f t="shared" si="266"/>
        <v>1531</v>
      </c>
      <c r="BQ214" s="51">
        <f t="shared" si="256"/>
        <v>0.3990811330264617</v>
      </c>
      <c r="BR214" s="99">
        <f t="shared" si="267"/>
        <v>0.22881482588551785</v>
      </c>
      <c r="BS214" s="40"/>
      <c r="BW214" s="280">
        <f t="shared" si="268"/>
        <v>8222</v>
      </c>
      <c r="BX214" s="39">
        <f t="shared" si="257"/>
        <v>1531</v>
      </c>
      <c r="BY214" s="51">
        <f t="shared" si="258"/>
        <v>0.22881482588551785</v>
      </c>
    </row>
    <row r="215" spans="1:77" s="63" customFormat="1" ht="18" customHeight="1">
      <c r="A215" s="53" t="s">
        <v>125</v>
      </c>
      <c r="B215" s="245"/>
      <c r="C215" s="245"/>
      <c r="D215" s="323">
        <f t="shared" si="233"/>
        <v>0</v>
      </c>
      <c r="E215" s="325" t="s">
        <v>78</v>
      </c>
      <c r="F215" s="245"/>
      <c r="G215" s="10">
        <f t="shared" si="234"/>
        <v>0</v>
      </c>
      <c r="H215" s="325" t="s">
        <v>78</v>
      </c>
      <c r="I215" s="245"/>
      <c r="J215" s="10">
        <f t="shared" si="235"/>
        <v>0</v>
      </c>
      <c r="K215" s="325" t="s">
        <v>78</v>
      </c>
      <c r="L215" s="69"/>
      <c r="M215" s="52"/>
      <c r="N215" s="60"/>
      <c r="O215" s="81"/>
      <c r="P215" s="69"/>
      <c r="Q215" s="60"/>
      <c r="R215" s="52"/>
      <c r="S215" s="52"/>
      <c r="T215" s="60"/>
      <c r="U215" s="52">
        <v>0</v>
      </c>
      <c r="V215" s="69"/>
      <c r="W215" s="60"/>
      <c r="X215" s="166">
        <v>46397</v>
      </c>
      <c r="Y215" s="52">
        <f>X215-U215</f>
        <v>46397</v>
      </c>
      <c r="Z215" s="60" t="s">
        <v>78</v>
      </c>
      <c r="AA215" s="202">
        <v>50044</v>
      </c>
      <c r="AB215" s="172">
        <f>AA214-X215</f>
        <v>-40397</v>
      </c>
      <c r="AC215" s="100">
        <f>AB215/X215</f>
        <v>-0.87068129404918426</v>
      </c>
      <c r="AD215" s="246">
        <v>0</v>
      </c>
      <c r="AE215" s="246">
        <v>32081</v>
      </c>
      <c r="AF215" s="52">
        <v>32081</v>
      </c>
      <c r="AG215" s="52">
        <f t="shared" si="248"/>
        <v>-17963</v>
      </c>
      <c r="AH215" s="58">
        <f t="shared" si="249"/>
        <v>-0.35894412916633361</v>
      </c>
      <c r="AI215" s="253">
        <v>0</v>
      </c>
      <c r="AJ215" s="253">
        <v>32081</v>
      </c>
      <c r="AK215" s="253">
        <v>0</v>
      </c>
      <c r="AL215" s="136"/>
      <c r="AM215" s="256">
        <f t="shared" si="250"/>
        <v>0</v>
      </c>
      <c r="AN215" s="245">
        <v>0</v>
      </c>
      <c r="AO215" s="245">
        <v>29582</v>
      </c>
      <c r="AR215" s="50"/>
      <c r="AS215" s="52">
        <f t="shared" si="261"/>
        <v>30336</v>
      </c>
      <c r="AT215" s="65">
        <f t="shared" si="262"/>
        <v>-1745</v>
      </c>
      <c r="AU215" s="51">
        <f t="shared" si="263"/>
        <v>-5.4393566285340235E-2</v>
      </c>
      <c r="AV215" s="65">
        <f t="shared" si="251"/>
        <v>-1745</v>
      </c>
      <c r="AW215" s="51">
        <f t="shared" si="252"/>
        <v>-5.4393566285340235E-2</v>
      </c>
      <c r="AX215" s="69">
        <f>29582</f>
        <v>29582</v>
      </c>
      <c r="AY215" s="52">
        <f t="shared" si="269"/>
        <v>-2499</v>
      </c>
      <c r="AZ215" s="58">
        <f t="shared" si="270"/>
        <v>-7.7896574296312457E-2</v>
      </c>
      <c r="BA215" s="616">
        <v>30336</v>
      </c>
      <c r="BB215" s="616">
        <v>30336</v>
      </c>
      <c r="BC215" s="616">
        <f t="shared" si="264"/>
        <v>0</v>
      </c>
      <c r="BD215" s="31">
        <f t="shared" si="265"/>
        <v>0</v>
      </c>
      <c r="BE215" s="69">
        <v>45545</v>
      </c>
      <c r="BF215" s="52">
        <f t="shared" si="253"/>
        <v>15963</v>
      </c>
      <c r="BG215" s="58">
        <f t="shared" si="254"/>
        <v>0.53961868703941585</v>
      </c>
      <c r="BH215" s="65"/>
      <c r="BI215" s="65"/>
      <c r="BJ215" s="65"/>
      <c r="BK215" s="65"/>
      <c r="BL215" s="39">
        <f t="shared" si="271"/>
        <v>45545</v>
      </c>
      <c r="BM215" s="39">
        <f t="shared" si="255"/>
        <v>15209</v>
      </c>
      <c r="BN215" s="39">
        <v>47020</v>
      </c>
      <c r="BO215" s="534">
        <v>47020</v>
      </c>
      <c r="BP215" s="39">
        <f t="shared" si="266"/>
        <v>1475</v>
      </c>
      <c r="BQ215" s="51">
        <f t="shared" si="256"/>
        <v>0.50135152953586493</v>
      </c>
      <c r="BR215" s="99">
        <f t="shared" si="267"/>
        <v>3.2385552750027448E-2</v>
      </c>
      <c r="BS215" s="40"/>
      <c r="BW215" s="280">
        <f t="shared" si="268"/>
        <v>47020</v>
      </c>
      <c r="BX215" s="39">
        <f t="shared" si="257"/>
        <v>1475</v>
      </c>
      <c r="BY215" s="51">
        <f t="shared" si="258"/>
        <v>3.2385552750027448E-2</v>
      </c>
    </row>
    <row r="216" spans="1:77" s="63" customFormat="1" ht="18" customHeight="1">
      <c r="A216" s="63" t="s">
        <v>148</v>
      </c>
      <c r="B216" s="325" t="s">
        <v>78</v>
      </c>
      <c r="C216" s="325" t="s">
        <v>78</v>
      </c>
      <c r="D216" s="325" t="s">
        <v>78</v>
      </c>
      <c r="E216" s="325" t="s">
        <v>78</v>
      </c>
      <c r="F216" s="325">
        <v>0</v>
      </c>
      <c r="G216" s="340" t="s">
        <v>78</v>
      </c>
      <c r="H216" s="325" t="s">
        <v>78</v>
      </c>
      <c r="I216" s="325">
        <v>10624</v>
      </c>
      <c r="J216" s="10">
        <f t="shared" si="235"/>
        <v>10624</v>
      </c>
      <c r="K216" s="325" t="s">
        <v>78</v>
      </c>
      <c r="L216" s="69"/>
      <c r="M216" s="52"/>
      <c r="N216" s="60"/>
      <c r="O216" s="81"/>
      <c r="P216" s="69"/>
      <c r="Q216" s="60"/>
      <c r="R216" s="52"/>
      <c r="S216" s="52"/>
      <c r="T216" s="60"/>
      <c r="U216" s="52"/>
      <c r="V216" s="69"/>
      <c r="W216" s="60"/>
      <c r="X216" s="166"/>
      <c r="Y216" s="52"/>
      <c r="Z216" s="95"/>
      <c r="AA216" s="202"/>
      <c r="AB216" s="172"/>
      <c r="AC216" s="100"/>
      <c r="AD216" s="63">
        <v>0</v>
      </c>
      <c r="AF216" s="52">
        <v>0</v>
      </c>
      <c r="AG216" s="52">
        <f t="shared" si="248"/>
        <v>0</v>
      </c>
      <c r="AH216" s="58" t="e">
        <f t="shared" si="249"/>
        <v>#DIV/0!</v>
      </c>
      <c r="AI216" s="63">
        <v>0</v>
      </c>
      <c r="AJ216" s="63">
        <v>0</v>
      </c>
      <c r="AK216" s="253">
        <v>0</v>
      </c>
      <c r="AL216" s="136"/>
      <c r="AM216" s="256">
        <f t="shared" si="250"/>
        <v>0</v>
      </c>
      <c r="AN216" s="258">
        <v>0</v>
      </c>
      <c r="AO216" s="258">
        <v>0</v>
      </c>
      <c r="AR216" s="50"/>
      <c r="AS216" s="52">
        <f t="shared" si="261"/>
        <v>0</v>
      </c>
      <c r="AT216" s="65">
        <f t="shared" si="262"/>
        <v>0</v>
      </c>
      <c r="AU216" s="51" t="e">
        <f t="shared" si="263"/>
        <v>#DIV/0!</v>
      </c>
      <c r="AV216" s="65">
        <f t="shared" si="251"/>
        <v>0</v>
      </c>
      <c r="AW216" s="51" t="e">
        <f t="shared" si="252"/>
        <v>#DIV/0!</v>
      </c>
      <c r="AX216" s="69">
        <v>0</v>
      </c>
      <c r="AY216" s="52">
        <f t="shared" si="269"/>
        <v>0</v>
      </c>
      <c r="AZ216" s="58" t="e">
        <f t="shared" si="270"/>
        <v>#DIV/0!</v>
      </c>
      <c r="BA216" s="58"/>
      <c r="BB216" s="58"/>
      <c r="BC216" s="616">
        <f t="shared" si="264"/>
        <v>0</v>
      </c>
      <c r="BD216" s="31"/>
      <c r="BE216" s="69">
        <v>0</v>
      </c>
      <c r="BF216" s="52">
        <f t="shared" si="253"/>
        <v>0</v>
      </c>
      <c r="BG216" s="58" t="e">
        <f t="shared" si="254"/>
        <v>#DIV/0!</v>
      </c>
      <c r="BH216" s="65"/>
      <c r="BI216" s="65"/>
      <c r="BJ216" s="65"/>
      <c r="BK216" s="65"/>
      <c r="BL216" s="39">
        <f t="shared" si="271"/>
        <v>0</v>
      </c>
      <c r="BM216" s="39">
        <f t="shared" si="255"/>
        <v>0</v>
      </c>
      <c r="BN216" s="39">
        <v>0</v>
      </c>
      <c r="BO216" s="534"/>
      <c r="BP216" s="39">
        <f t="shared" si="266"/>
        <v>0</v>
      </c>
      <c r="BQ216" s="51" t="e">
        <f t="shared" si="256"/>
        <v>#DIV/0!</v>
      </c>
      <c r="BR216" s="99" t="e">
        <f t="shared" si="267"/>
        <v>#DIV/0!</v>
      </c>
      <c r="BS216" s="40"/>
      <c r="BW216" s="280">
        <f t="shared" si="268"/>
        <v>0</v>
      </c>
      <c r="BX216" s="39">
        <f t="shared" si="257"/>
        <v>0</v>
      </c>
      <c r="BY216" s="51" t="e">
        <f t="shared" si="258"/>
        <v>#DIV/0!</v>
      </c>
    </row>
    <row r="217" spans="1:77" s="63" customFormat="1" ht="18" customHeight="1">
      <c r="A217" s="63" t="s">
        <v>152</v>
      </c>
      <c r="B217" s="325" t="s">
        <v>78</v>
      </c>
      <c r="C217" s="325" t="s">
        <v>78</v>
      </c>
      <c r="D217" s="325" t="s">
        <v>78</v>
      </c>
      <c r="E217" s="325" t="s">
        <v>78</v>
      </c>
      <c r="F217" s="340" t="s">
        <v>78</v>
      </c>
      <c r="G217" s="340" t="s">
        <v>78</v>
      </c>
      <c r="H217" s="325" t="s">
        <v>78</v>
      </c>
      <c r="I217" s="340" t="s">
        <v>78</v>
      </c>
      <c r="J217" s="340" t="s">
        <v>78</v>
      </c>
      <c r="K217" s="325" t="s">
        <v>78</v>
      </c>
      <c r="L217" s="69"/>
      <c r="M217" s="52"/>
      <c r="N217" s="60"/>
      <c r="O217" s="81"/>
      <c r="P217" s="69"/>
      <c r="Q217" s="60"/>
      <c r="R217" s="52"/>
      <c r="S217" s="52"/>
      <c r="T217" s="60"/>
      <c r="U217" s="52"/>
      <c r="V217" s="69"/>
      <c r="W217" s="60"/>
      <c r="X217" s="166"/>
      <c r="Y217" s="52"/>
      <c r="Z217" s="95"/>
      <c r="AA217" s="202"/>
      <c r="AB217" s="172"/>
      <c r="AC217" s="100"/>
      <c r="AD217" s="246">
        <v>0</v>
      </c>
      <c r="AE217" s="246">
        <v>45992</v>
      </c>
      <c r="AF217" s="52">
        <v>34140</v>
      </c>
      <c r="AG217" s="52">
        <f t="shared" si="248"/>
        <v>34140</v>
      </c>
      <c r="AH217" s="58" t="e">
        <f t="shared" si="249"/>
        <v>#DIV/0!</v>
      </c>
      <c r="AI217" s="253">
        <v>45992</v>
      </c>
      <c r="AJ217" s="253">
        <v>45992</v>
      </c>
      <c r="AK217" s="258">
        <v>0</v>
      </c>
      <c r="AL217" s="136"/>
      <c r="AM217" s="256">
        <f t="shared" si="250"/>
        <v>0</v>
      </c>
      <c r="AN217" s="258">
        <v>0</v>
      </c>
      <c r="AO217" s="245">
        <v>67904</v>
      </c>
      <c r="AR217" s="50"/>
      <c r="AS217" s="52">
        <f t="shared" si="261"/>
        <v>58253.516000000003</v>
      </c>
      <c r="AT217" s="65">
        <f t="shared" si="262"/>
        <v>24113.516000000003</v>
      </c>
      <c r="AU217" s="51">
        <f t="shared" si="263"/>
        <v>0.70631271236086712</v>
      </c>
      <c r="AV217" s="65">
        <f t="shared" si="251"/>
        <v>24113.516000000003</v>
      </c>
      <c r="AW217" s="51">
        <f t="shared" si="252"/>
        <v>0.70631271236086712</v>
      </c>
      <c r="AX217" s="69">
        <f>61304</f>
        <v>61304</v>
      </c>
      <c r="AY217" s="52">
        <f t="shared" si="269"/>
        <v>27164</v>
      </c>
      <c r="AZ217" s="58">
        <f t="shared" si="270"/>
        <v>0.79566490919742239</v>
      </c>
      <c r="BA217" s="617">
        <v>58253.516000000003</v>
      </c>
      <c r="BB217" s="617">
        <v>58253.516000000003</v>
      </c>
      <c r="BC217" s="616">
        <f t="shared" si="264"/>
        <v>0</v>
      </c>
      <c r="BD217" s="31">
        <f t="shared" si="265"/>
        <v>0</v>
      </c>
      <c r="BE217" s="69">
        <v>65466</v>
      </c>
      <c r="BF217" s="52">
        <f t="shared" si="253"/>
        <v>4162</v>
      </c>
      <c r="BG217" s="58">
        <f t="shared" si="254"/>
        <v>6.7891165339945186E-2</v>
      </c>
      <c r="BH217" s="65"/>
      <c r="BI217" s="65"/>
      <c r="BJ217" s="65"/>
      <c r="BK217" s="65"/>
      <c r="BL217" s="39">
        <f t="shared" si="271"/>
        <v>65466</v>
      </c>
      <c r="BM217" s="39">
        <f t="shared" si="255"/>
        <v>7212.4839999999967</v>
      </c>
      <c r="BN217" s="39">
        <v>71461</v>
      </c>
      <c r="BO217" s="534">
        <v>71461</v>
      </c>
      <c r="BP217" s="39">
        <f t="shared" si="266"/>
        <v>5995</v>
      </c>
      <c r="BQ217" s="51">
        <f t="shared" si="256"/>
        <v>0.12381199445540757</v>
      </c>
      <c r="BR217" s="99">
        <f t="shared" si="267"/>
        <v>9.1574252283628144E-2</v>
      </c>
      <c r="BS217" s="40"/>
      <c r="BW217" s="280">
        <f t="shared" si="268"/>
        <v>71461</v>
      </c>
      <c r="BX217" s="39">
        <f t="shared" si="257"/>
        <v>5995</v>
      </c>
      <c r="BY217" s="51">
        <f t="shared" si="258"/>
        <v>9.1574252283628144E-2</v>
      </c>
    </row>
    <row r="218" spans="1:77" s="63" customFormat="1" ht="18" customHeight="1">
      <c r="A218" s="63" t="s">
        <v>150</v>
      </c>
      <c r="B218" s="325" t="s">
        <v>78</v>
      </c>
      <c r="C218" s="325" t="s">
        <v>78</v>
      </c>
      <c r="D218" s="325" t="s">
        <v>78</v>
      </c>
      <c r="E218" s="325" t="s">
        <v>78</v>
      </c>
      <c r="F218" s="340" t="s">
        <v>78</v>
      </c>
      <c r="G218" s="340" t="s">
        <v>78</v>
      </c>
      <c r="H218" s="325" t="s">
        <v>78</v>
      </c>
      <c r="I218" s="340" t="s">
        <v>78</v>
      </c>
      <c r="J218" s="340" t="s">
        <v>78</v>
      </c>
      <c r="K218" s="325" t="s">
        <v>78</v>
      </c>
      <c r="L218" s="69"/>
      <c r="M218" s="52"/>
      <c r="N218" s="60"/>
      <c r="O218" s="81"/>
      <c r="P218" s="69"/>
      <c r="Q218" s="60"/>
      <c r="R218" s="52"/>
      <c r="S218" s="52"/>
      <c r="T218" s="60"/>
      <c r="U218" s="52"/>
      <c r="V218" s="69"/>
      <c r="W218" s="60"/>
      <c r="X218" s="166"/>
      <c r="Y218" s="52"/>
      <c r="Z218" s="95"/>
      <c r="AA218" s="207"/>
      <c r="AB218" s="172"/>
      <c r="AC218" s="100"/>
      <c r="AD218" s="245">
        <v>0</v>
      </c>
      <c r="AE218" s="245">
        <v>29762</v>
      </c>
      <c r="AF218" s="52">
        <v>24889</v>
      </c>
      <c r="AG218" s="52">
        <f t="shared" si="248"/>
        <v>24889</v>
      </c>
      <c r="AH218" s="58" t="e">
        <f t="shared" si="249"/>
        <v>#DIV/0!</v>
      </c>
      <c r="AI218" s="258">
        <v>0</v>
      </c>
      <c r="AJ218" s="258">
        <v>29762</v>
      </c>
      <c r="AL218" s="136"/>
      <c r="AM218" s="256">
        <f t="shared" si="250"/>
        <v>0</v>
      </c>
      <c r="AN218" s="258">
        <v>0</v>
      </c>
      <c r="AO218" s="245">
        <v>37678</v>
      </c>
      <c r="AR218" s="50"/>
      <c r="AS218" s="52">
        <f t="shared" si="261"/>
        <v>30001.348720000002</v>
      </c>
      <c r="AT218" s="65">
        <f t="shared" si="262"/>
        <v>5112.3487200000018</v>
      </c>
      <c r="AU218" s="51">
        <f t="shared" si="263"/>
        <v>0.20540595122343211</v>
      </c>
      <c r="AV218" s="65">
        <f t="shared" si="251"/>
        <v>5112.3487200000018</v>
      </c>
      <c r="AW218" s="51">
        <f t="shared" si="252"/>
        <v>0.20540595122343211</v>
      </c>
      <c r="AX218" s="69">
        <v>37678</v>
      </c>
      <c r="AY218" s="52">
        <f t="shared" si="269"/>
        <v>12789</v>
      </c>
      <c r="AZ218" s="58">
        <f t="shared" si="270"/>
        <v>0.51384145606492826</v>
      </c>
      <c r="BA218" s="616">
        <v>31273</v>
      </c>
      <c r="BB218" s="616">
        <v>30001.348720000002</v>
      </c>
      <c r="BC218" s="616">
        <f t="shared" si="264"/>
        <v>1271.6512799999982</v>
      </c>
      <c r="BD218" s="31">
        <f t="shared" si="265"/>
        <v>4.0662913055990735E-2</v>
      </c>
      <c r="BE218" s="69">
        <v>37294</v>
      </c>
      <c r="BF218" s="52">
        <f t="shared" si="253"/>
        <v>-384</v>
      </c>
      <c r="BG218" s="58">
        <f t="shared" si="254"/>
        <v>-1.0191623759222888E-2</v>
      </c>
      <c r="BH218" s="65"/>
      <c r="BI218" s="65"/>
      <c r="BJ218" s="65"/>
      <c r="BK218" s="65"/>
      <c r="BL218" s="39">
        <f t="shared" si="271"/>
        <v>37294</v>
      </c>
      <c r="BM218" s="39">
        <f t="shared" si="255"/>
        <v>7292.6512799999982</v>
      </c>
      <c r="BN218" s="39">
        <v>36472</v>
      </c>
      <c r="BO218" s="534">
        <v>36472</v>
      </c>
      <c r="BP218" s="39">
        <f t="shared" si="266"/>
        <v>-822</v>
      </c>
      <c r="BQ218" s="51">
        <f t="shared" si="256"/>
        <v>0.24307744788614949</v>
      </c>
      <c r="BR218" s="99">
        <f t="shared" si="267"/>
        <v>-2.2041078993940044E-2</v>
      </c>
      <c r="BS218" s="40"/>
      <c r="BW218" s="280">
        <f t="shared" si="268"/>
        <v>36472</v>
      </c>
      <c r="BX218" s="39">
        <f t="shared" si="257"/>
        <v>-822</v>
      </c>
      <c r="BY218" s="51">
        <f t="shared" si="258"/>
        <v>-2.2041078993940044E-2</v>
      </c>
    </row>
    <row r="219" spans="1:77" s="63" customFormat="1" ht="18" customHeight="1">
      <c r="A219" s="63" t="s">
        <v>151</v>
      </c>
      <c r="B219" s="325" t="s">
        <v>78</v>
      </c>
      <c r="C219" s="325" t="s">
        <v>78</v>
      </c>
      <c r="D219" s="325" t="s">
        <v>78</v>
      </c>
      <c r="E219" s="325" t="s">
        <v>78</v>
      </c>
      <c r="F219" s="340" t="s">
        <v>78</v>
      </c>
      <c r="G219" s="340" t="s">
        <v>78</v>
      </c>
      <c r="H219" s="325" t="s">
        <v>78</v>
      </c>
      <c r="I219" s="340" t="s">
        <v>78</v>
      </c>
      <c r="J219" s="340" t="s">
        <v>78</v>
      </c>
      <c r="K219" s="325" t="s">
        <v>78</v>
      </c>
      <c r="L219" s="69"/>
      <c r="M219" s="52"/>
      <c r="N219" s="60"/>
      <c r="O219" s="81"/>
      <c r="P219" s="69"/>
      <c r="Q219" s="60"/>
      <c r="R219" s="52"/>
      <c r="S219" s="52"/>
      <c r="T219" s="60"/>
      <c r="U219" s="52"/>
      <c r="V219" s="69"/>
      <c r="W219" s="60"/>
      <c r="X219" s="166"/>
      <c r="Y219" s="52"/>
      <c r="Z219" s="95"/>
      <c r="AA219" s="205"/>
      <c r="AB219" s="172"/>
      <c r="AC219" s="100"/>
      <c r="AD219" s="246">
        <v>0</v>
      </c>
      <c r="AE219" s="246">
        <v>93054</v>
      </c>
      <c r="AF219" s="52">
        <v>93054</v>
      </c>
      <c r="AG219" s="52">
        <f t="shared" si="248"/>
        <v>93054</v>
      </c>
      <c r="AH219" s="58" t="e">
        <f t="shared" si="249"/>
        <v>#DIV/0!</v>
      </c>
      <c r="AI219" s="258">
        <v>0</v>
      </c>
      <c r="AJ219" s="258">
        <v>93054</v>
      </c>
      <c r="AL219" s="136"/>
      <c r="AM219" s="256">
        <f t="shared" si="250"/>
        <v>0</v>
      </c>
      <c r="AN219" s="258">
        <v>0</v>
      </c>
      <c r="AO219" s="63">
        <v>101696</v>
      </c>
      <c r="AR219" s="50"/>
      <c r="AS219" s="52">
        <f t="shared" si="261"/>
        <v>96844</v>
      </c>
      <c r="AT219" s="65">
        <f t="shared" si="262"/>
        <v>3790</v>
      </c>
      <c r="AU219" s="51">
        <f t="shared" si="263"/>
        <v>4.0729039052593119E-2</v>
      </c>
      <c r="AV219" s="65">
        <f t="shared" si="251"/>
        <v>3790</v>
      </c>
      <c r="AW219" s="51">
        <f t="shared" si="252"/>
        <v>4.0729039052593119E-2</v>
      </c>
      <c r="AX219" s="69">
        <f>101696</f>
        <v>101696</v>
      </c>
      <c r="AY219" s="52">
        <f t="shared" si="269"/>
        <v>8642</v>
      </c>
      <c r="AZ219" s="58">
        <f t="shared" si="270"/>
        <v>9.2870806198551384E-2</v>
      </c>
      <c r="BA219" s="616">
        <v>96844</v>
      </c>
      <c r="BB219" s="616">
        <v>96844</v>
      </c>
      <c r="BC219" s="616">
        <f t="shared" si="264"/>
        <v>0</v>
      </c>
      <c r="BD219" s="31">
        <f t="shared" si="265"/>
        <v>0</v>
      </c>
      <c r="BE219" s="69">
        <v>101718</v>
      </c>
      <c r="BF219" s="52">
        <f t="shared" si="253"/>
        <v>22</v>
      </c>
      <c r="BG219" s="58">
        <f t="shared" si="254"/>
        <v>2.1633102580239145E-4</v>
      </c>
      <c r="BH219" s="65"/>
      <c r="BI219" s="65"/>
      <c r="BJ219" s="65"/>
      <c r="BK219" s="65"/>
      <c r="BL219" s="39">
        <f t="shared" si="271"/>
        <v>101718</v>
      </c>
      <c r="BM219" s="39">
        <f t="shared" si="255"/>
        <v>4874</v>
      </c>
      <c r="BN219" s="39">
        <v>103729</v>
      </c>
      <c r="BO219" s="534">
        <v>103729</v>
      </c>
      <c r="BP219" s="39">
        <f t="shared" si="266"/>
        <v>2011</v>
      </c>
      <c r="BQ219" s="51">
        <f t="shared" si="256"/>
        <v>5.0328363140721158E-2</v>
      </c>
      <c r="BR219" s="99">
        <f t="shared" si="267"/>
        <v>1.9770345464912797E-2</v>
      </c>
      <c r="BS219" s="40"/>
      <c r="BW219" s="280">
        <f t="shared" si="268"/>
        <v>103729</v>
      </c>
      <c r="BX219" s="39">
        <f t="shared" si="257"/>
        <v>2011</v>
      </c>
      <c r="BY219" s="51">
        <f t="shared" si="258"/>
        <v>1.9770345464912797E-2</v>
      </c>
    </row>
    <row r="220" spans="1:77" s="63" customFormat="1" ht="18.75" customHeight="1">
      <c r="A220" s="53" t="s">
        <v>126</v>
      </c>
      <c r="B220" s="325" t="s">
        <v>78</v>
      </c>
      <c r="C220" s="325" t="s">
        <v>78</v>
      </c>
      <c r="D220" s="325" t="s">
        <v>78</v>
      </c>
      <c r="E220" s="325" t="s">
        <v>78</v>
      </c>
      <c r="F220" s="340" t="s">
        <v>78</v>
      </c>
      <c r="G220" s="340" t="s">
        <v>78</v>
      </c>
      <c r="H220" s="325" t="s">
        <v>78</v>
      </c>
      <c r="I220" s="340" t="s">
        <v>78</v>
      </c>
      <c r="J220" s="340" t="s">
        <v>78</v>
      </c>
      <c r="K220" s="325" t="s">
        <v>78</v>
      </c>
      <c r="L220" s="69"/>
      <c r="M220" s="69"/>
      <c r="N220" s="70"/>
      <c r="O220" s="81"/>
      <c r="P220" s="69"/>
      <c r="Q220" s="70"/>
      <c r="R220" s="69"/>
      <c r="S220" s="69"/>
      <c r="T220" s="70"/>
      <c r="U220" s="69"/>
      <c r="V220" s="69"/>
      <c r="W220" s="70"/>
      <c r="X220" s="176"/>
      <c r="Y220" s="69"/>
      <c r="Z220" s="96"/>
      <c r="AA220" s="205"/>
      <c r="AB220" s="173"/>
      <c r="AC220" s="131"/>
      <c r="AF220" s="69"/>
      <c r="AG220" s="69"/>
      <c r="AH220" s="80"/>
      <c r="AL220" s="136"/>
      <c r="AM220" s="256">
        <f t="shared" si="250"/>
        <v>0</v>
      </c>
      <c r="AN220" s="63">
        <v>0</v>
      </c>
      <c r="AR220" s="50"/>
      <c r="AS220" s="52">
        <f t="shared" si="261"/>
        <v>782.93320000000006</v>
      </c>
      <c r="AT220" s="65">
        <f t="shared" si="262"/>
        <v>782.93320000000006</v>
      </c>
      <c r="AU220" s="51" t="e">
        <f t="shared" si="263"/>
        <v>#DIV/0!</v>
      </c>
      <c r="AV220" s="65">
        <f t="shared" si="251"/>
        <v>782.93320000000006</v>
      </c>
      <c r="AW220" s="51" t="e">
        <f t="shared" si="252"/>
        <v>#DIV/0!</v>
      </c>
      <c r="AX220" s="69"/>
      <c r="AY220" s="52">
        <f>AX220-AF220</f>
        <v>0</v>
      </c>
      <c r="AZ220" s="58" t="e">
        <f t="shared" si="270"/>
        <v>#DIV/0!</v>
      </c>
      <c r="BA220" s="616">
        <v>783</v>
      </c>
      <c r="BB220" s="616">
        <v>782.93320000000006</v>
      </c>
      <c r="BC220" s="616">
        <f t="shared" si="264"/>
        <v>6.6799999999943793E-2</v>
      </c>
      <c r="BD220" s="31">
        <f t="shared" si="265"/>
        <v>8.5312899105930765E-5</v>
      </c>
      <c r="BE220" s="69">
        <v>0</v>
      </c>
      <c r="BF220" s="52">
        <f t="shared" si="253"/>
        <v>0</v>
      </c>
      <c r="BG220" s="58" t="e">
        <f t="shared" si="254"/>
        <v>#DIV/0!</v>
      </c>
      <c r="BH220" s="65"/>
      <c r="BI220" s="65"/>
      <c r="BJ220" s="65"/>
      <c r="BK220" s="65"/>
      <c r="BL220" s="39">
        <f t="shared" si="271"/>
        <v>0</v>
      </c>
      <c r="BM220" s="39">
        <f t="shared" si="255"/>
        <v>-782.93320000000006</v>
      </c>
      <c r="BN220" s="535">
        <v>0</v>
      </c>
      <c r="BO220" s="535"/>
      <c r="BP220" s="39">
        <f t="shared" si="266"/>
        <v>0</v>
      </c>
      <c r="BQ220" s="51">
        <f t="shared" si="256"/>
        <v>-1</v>
      </c>
      <c r="BR220" s="99" t="e">
        <f t="shared" si="267"/>
        <v>#DIV/0!</v>
      </c>
      <c r="BS220" s="40"/>
      <c r="BW220" s="280">
        <f>BN201+BS220+BT220+BU220+BV220</f>
        <v>21477</v>
      </c>
      <c r="BX220" s="39">
        <f t="shared" si="257"/>
        <v>21477</v>
      </c>
      <c r="BY220" s="51" t="e">
        <f t="shared" si="258"/>
        <v>#DIV/0!</v>
      </c>
    </row>
    <row r="221" spans="1:77" s="63" customFormat="1" ht="18" customHeight="1" thickBot="1">
      <c r="A221" s="245" t="s">
        <v>362</v>
      </c>
      <c r="B221" s="330" t="s">
        <v>78</v>
      </c>
      <c r="C221" s="330" t="s">
        <v>78</v>
      </c>
      <c r="D221" s="330" t="s">
        <v>78</v>
      </c>
      <c r="E221" s="330" t="s">
        <v>78</v>
      </c>
      <c r="F221" s="340" t="s">
        <v>78</v>
      </c>
      <c r="G221" s="340" t="s">
        <v>78</v>
      </c>
      <c r="H221" s="340" t="s">
        <v>78</v>
      </c>
      <c r="I221" s="340" t="s">
        <v>78</v>
      </c>
      <c r="J221" s="340" t="s">
        <v>78</v>
      </c>
      <c r="K221" s="340" t="s">
        <v>78</v>
      </c>
      <c r="L221" s="340"/>
      <c r="M221" s="69"/>
      <c r="N221" s="70"/>
      <c r="O221" s="81"/>
      <c r="P221" s="69"/>
      <c r="Q221" s="70"/>
      <c r="R221" s="69"/>
      <c r="S221" s="69"/>
      <c r="T221" s="70"/>
      <c r="U221" s="69"/>
      <c r="V221" s="69"/>
      <c r="W221" s="70"/>
      <c r="X221" s="176"/>
      <c r="Y221" s="69"/>
      <c r="Z221" s="96"/>
      <c r="AA221" s="205"/>
      <c r="AB221" s="173"/>
      <c r="AC221" s="131"/>
      <c r="AF221" s="69">
        <v>0</v>
      </c>
      <c r="AG221" s="69"/>
      <c r="AH221" s="80"/>
      <c r="AL221" s="141"/>
      <c r="AM221" s="361"/>
      <c r="AS221" s="52">
        <f t="shared" si="261"/>
        <v>0</v>
      </c>
      <c r="AT221" s="65">
        <f t="shared" si="262"/>
        <v>0</v>
      </c>
      <c r="AU221" s="51" t="e">
        <f t="shared" si="263"/>
        <v>#DIV/0!</v>
      </c>
      <c r="AV221" s="80"/>
      <c r="AW221" s="309"/>
      <c r="AX221" s="69">
        <v>3000</v>
      </c>
      <c r="AY221" s="75">
        <f>AX221-AF221</f>
        <v>3000</v>
      </c>
      <c r="AZ221" s="77" t="e">
        <f t="shared" si="270"/>
        <v>#DIV/0!</v>
      </c>
      <c r="BA221" s="616">
        <v>3000</v>
      </c>
      <c r="BB221" s="616">
        <v>0</v>
      </c>
      <c r="BC221" s="616">
        <f t="shared" si="264"/>
        <v>3000</v>
      </c>
      <c r="BD221" s="31">
        <f t="shared" si="265"/>
        <v>1</v>
      </c>
      <c r="BE221" s="69">
        <v>3000</v>
      </c>
      <c r="BF221" s="75">
        <f t="shared" si="253"/>
        <v>0</v>
      </c>
      <c r="BG221" s="77">
        <f t="shared" si="254"/>
        <v>0</v>
      </c>
      <c r="BH221" s="94"/>
      <c r="BI221" s="94"/>
      <c r="BJ221" s="94"/>
      <c r="BK221" s="94"/>
      <c r="BL221" s="102">
        <f t="shared" si="271"/>
        <v>3000</v>
      </c>
      <c r="BM221" s="102">
        <f t="shared" si="255"/>
        <v>3000</v>
      </c>
      <c r="BN221" s="40">
        <v>3000</v>
      </c>
      <c r="BO221" s="535">
        <v>750</v>
      </c>
      <c r="BP221" s="39">
        <f t="shared" si="266"/>
        <v>-2250</v>
      </c>
      <c r="BQ221" s="55" t="e">
        <f t="shared" si="256"/>
        <v>#DIV/0!</v>
      </c>
      <c r="BR221" s="99">
        <f t="shared" si="267"/>
        <v>-0.75</v>
      </c>
      <c r="BS221" s="40"/>
      <c r="BW221" s="280">
        <f t="shared" ref="BW221:BW241" si="273">BN221+BS221+BT221+BU221+BV221</f>
        <v>3000</v>
      </c>
      <c r="BX221" s="39">
        <f t="shared" si="257"/>
        <v>0</v>
      </c>
      <c r="BY221" s="51">
        <f t="shared" si="258"/>
        <v>0</v>
      </c>
    </row>
    <row r="222" spans="1:77" s="367" customFormat="1" ht="18" customHeight="1">
      <c r="A222" s="367" t="s">
        <v>62</v>
      </c>
      <c r="B222" s="368">
        <f t="shared" ref="B222:I222" si="274">SUM(B198:B220)</f>
        <v>394753</v>
      </c>
      <c r="C222" s="368">
        <f t="shared" si="274"/>
        <v>272071</v>
      </c>
      <c r="D222" s="369">
        <f t="shared" si="233"/>
        <v>-122682</v>
      </c>
      <c r="E222" s="370">
        <f t="shared" si="236"/>
        <v>-0.3107816786699531</v>
      </c>
      <c r="F222" s="368">
        <f t="shared" si="274"/>
        <v>278480</v>
      </c>
      <c r="G222" s="336">
        <f t="shared" si="234"/>
        <v>6409</v>
      </c>
      <c r="H222" s="339">
        <f t="shared" si="237"/>
        <v>2.3556351099529166E-2</v>
      </c>
      <c r="I222" s="368">
        <f t="shared" si="274"/>
        <v>294072</v>
      </c>
      <c r="J222" s="336">
        <f t="shared" si="235"/>
        <v>15592</v>
      </c>
      <c r="K222" s="339">
        <f t="shared" si="238"/>
        <v>5.5989658144211432E-2</v>
      </c>
      <c r="L222" s="368">
        <f>SUM(L198:L220)</f>
        <v>399023</v>
      </c>
      <c r="M222" s="368">
        <f>SUM(M198:M220)</f>
        <v>115575</v>
      </c>
      <c r="N222" s="371" t="s">
        <v>78</v>
      </c>
      <c r="O222" s="368">
        <f>SUM(O198:O220)</f>
        <v>428753</v>
      </c>
      <c r="P222" s="368">
        <f t="shared" si="259"/>
        <v>29730</v>
      </c>
      <c r="Q222" s="372">
        <f>P222/L222</f>
        <v>7.4506983306726685E-2</v>
      </c>
      <c r="R222" s="368">
        <f>SUM(R198:R220)</f>
        <v>858298</v>
      </c>
      <c r="S222" s="368">
        <f t="shared" si="272"/>
        <v>429545</v>
      </c>
      <c r="T222" s="372">
        <f>S222/O222</f>
        <v>1.0018472173955635</v>
      </c>
      <c r="U222" s="369">
        <f>SUM(U198:U220)</f>
        <v>605800</v>
      </c>
      <c r="V222" s="368">
        <f t="shared" si="260"/>
        <v>-252498</v>
      </c>
      <c r="W222" s="372">
        <f>V222/R222</f>
        <v>-0.29418453730522498</v>
      </c>
      <c r="X222" s="369">
        <f>SUM(X198:X220)</f>
        <v>835883</v>
      </c>
      <c r="Y222" s="368">
        <f>X222-U222</f>
        <v>230083</v>
      </c>
      <c r="Z222" s="373">
        <f>Y222/U222</f>
        <v>0.37980026411356882</v>
      </c>
      <c r="AA222" s="374">
        <f>SUM(AA198:AA220)</f>
        <v>967827</v>
      </c>
      <c r="AB222" s="375">
        <f>AA222-X222</f>
        <v>131944</v>
      </c>
      <c r="AC222" s="376">
        <f>AB222/X222</f>
        <v>0.15784984262151522</v>
      </c>
      <c r="AD222" s="368">
        <f>SUM(AD198:AD220)</f>
        <v>694255</v>
      </c>
      <c r="AE222" s="369">
        <f>SUM(AE198:AE220)</f>
        <v>216999</v>
      </c>
      <c r="AF222" s="369">
        <f>SUM(AF198:AF221)</f>
        <v>764487</v>
      </c>
      <c r="AG222" s="336">
        <f t="shared" ref="AG222" si="275">AF222-AA222</f>
        <v>-203340</v>
      </c>
      <c r="AH222" s="333">
        <f t="shared" ref="AH222" si="276">AG222/AA222</f>
        <v>-0.21009953225111513</v>
      </c>
      <c r="AJ222" s="369"/>
      <c r="AK222" s="369">
        <f>SUM(AK198:AK220)</f>
        <v>703920</v>
      </c>
      <c r="AL222" s="369">
        <f>SUM(AL198:AL220)</f>
        <v>3467</v>
      </c>
      <c r="AM222" s="336">
        <f t="shared" si="250"/>
        <v>707387</v>
      </c>
      <c r="AN222" s="369">
        <f>SUM(AN198:AN220)</f>
        <v>643142</v>
      </c>
      <c r="AO222" s="369">
        <f>SUM(AO198:AO220)</f>
        <v>905453</v>
      </c>
      <c r="AR222" s="369"/>
      <c r="AS222" s="52">
        <f t="shared" si="261"/>
        <v>861536.56293000001</v>
      </c>
      <c r="AT222" s="539">
        <f>AS222-AF222</f>
        <v>97049.562930000015</v>
      </c>
      <c r="AU222" s="543">
        <f>AT222/AF222</f>
        <v>0.12694730313268901</v>
      </c>
      <c r="AV222" s="338">
        <f t="shared" si="251"/>
        <v>97049.562930000015</v>
      </c>
      <c r="AW222" s="339">
        <f t="shared" si="252"/>
        <v>0.12694730313268901</v>
      </c>
      <c r="AX222" s="368">
        <f>SUM(AX198:AX221)</f>
        <v>938024</v>
      </c>
      <c r="AY222" s="52">
        <f t="shared" si="269"/>
        <v>173537</v>
      </c>
      <c r="AZ222" s="58">
        <f t="shared" si="270"/>
        <v>0.22699797380465594</v>
      </c>
      <c r="BA222" s="58"/>
      <c r="BB222" s="65">
        <f>SUM(BB198:BB221)</f>
        <v>861536.56293000001</v>
      </c>
      <c r="BC222" s="58"/>
      <c r="BD222" s="58"/>
      <c r="BE222" s="368">
        <f>SUM(BE198:BE221)</f>
        <v>1002473</v>
      </c>
      <c r="BF222" s="52">
        <f t="shared" si="253"/>
        <v>64449</v>
      </c>
      <c r="BG222" s="58">
        <f t="shared" si="254"/>
        <v>6.870719725721304E-2</v>
      </c>
      <c r="BH222" s="65">
        <f>SUM(BH198:BH221)</f>
        <v>0</v>
      </c>
      <c r="BI222" s="65"/>
      <c r="BJ222" s="65"/>
      <c r="BK222" s="65"/>
      <c r="BL222" s="39">
        <f t="shared" si="271"/>
        <v>1002473</v>
      </c>
      <c r="BM222" s="39">
        <f t="shared" si="255"/>
        <v>140936.43706999999</v>
      </c>
      <c r="BN222" s="30">
        <f>SUM(BN198:BN221)</f>
        <v>1033696</v>
      </c>
      <c r="BO222" s="30">
        <f>SUM(BO198:BO221)</f>
        <v>1040106</v>
      </c>
      <c r="BP222" s="39">
        <f t="shared" si="266"/>
        <v>37633</v>
      </c>
      <c r="BQ222" s="51">
        <f t="shared" si="256"/>
        <v>0.16358729638901129</v>
      </c>
      <c r="BR222" s="99">
        <f t="shared" si="267"/>
        <v>3.7540163176464601E-2</v>
      </c>
      <c r="BS222" s="648"/>
      <c r="BW222" s="658">
        <f t="shared" si="273"/>
        <v>1033696</v>
      </c>
      <c r="BX222" s="636">
        <f t="shared" si="257"/>
        <v>31223</v>
      </c>
      <c r="BY222" s="543">
        <f t="shared" si="258"/>
        <v>3.1145976001348663E-2</v>
      </c>
    </row>
    <row r="223" spans="1:77" s="63" customFormat="1" ht="18" customHeight="1">
      <c r="A223" s="64"/>
      <c r="D223" s="323"/>
      <c r="E223" s="352"/>
      <c r="G223" s="10"/>
      <c r="H223" s="14"/>
      <c r="J223" s="10"/>
      <c r="K223" s="14"/>
      <c r="L223" s="46"/>
      <c r="M223" s="52"/>
      <c r="N223" s="48"/>
      <c r="O223" s="47"/>
      <c r="P223" s="46"/>
      <c r="Q223" s="36"/>
      <c r="R223" s="47"/>
      <c r="S223" s="12"/>
      <c r="T223" s="36"/>
      <c r="U223" s="47"/>
      <c r="V223" s="46"/>
      <c r="W223" s="45"/>
      <c r="X223" s="47"/>
      <c r="Y223" s="12"/>
      <c r="Z223" s="98"/>
      <c r="AA223" s="208"/>
      <c r="AB223" s="165"/>
      <c r="AC223" s="97"/>
      <c r="AF223" s="69"/>
      <c r="AG223" s="69"/>
      <c r="AM223" s="256"/>
      <c r="AX223" s="69"/>
      <c r="AY223" s="52"/>
      <c r="AZ223" s="58"/>
      <c r="BA223" s="58"/>
      <c r="BB223" s="58"/>
      <c r="BC223" s="58"/>
      <c r="BD223" s="58"/>
      <c r="BE223" s="69"/>
      <c r="BF223" s="52"/>
      <c r="BG223" s="58"/>
      <c r="BH223" s="65"/>
      <c r="BI223" s="65"/>
      <c r="BJ223" s="65"/>
      <c r="BK223" s="65"/>
      <c r="BL223" s="39"/>
      <c r="BM223" s="39"/>
      <c r="BN223" s="39"/>
      <c r="BO223" s="534"/>
      <c r="BP223" s="39">
        <f t="shared" si="266"/>
        <v>0</v>
      </c>
      <c r="BQ223" s="51"/>
      <c r="BR223" s="99" t="e">
        <f t="shared" si="267"/>
        <v>#DIV/0!</v>
      </c>
      <c r="BS223" s="40"/>
      <c r="BW223" s="280">
        <f t="shared" si="273"/>
        <v>0</v>
      </c>
      <c r="BX223" s="39">
        <f t="shared" si="257"/>
        <v>0</v>
      </c>
      <c r="BY223" s="51" t="e">
        <f t="shared" si="258"/>
        <v>#DIV/0!</v>
      </c>
    </row>
    <row r="224" spans="1:77" s="63" customFormat="1" ht="18" customHeight="1">
      <c r="A224" s="73" t="s">
        <v>197</v>
      </c>
      <c r="D224" s="323"/>
      <c r="E224" s="352"/>
      <c r="G224" s="10"/>
      <c r="H224" s="14"/>
      <c r="J224" s="10"/>
      <c r="K224" s="14"/>
      <c r="L224" s="46"/>
      <c r="M224" s="52"/>
      <c r="N224" s="48"/>
      <c r="O224" s="47"/>
      <c r="P224" s="46"/>
      <c r="Q224" s="36"/>
      <c r="R224" s="47"/>
      <c r="S224" s="12"/>
      <c r="T224" s="36"/>
      <c r="U224" s="47"/>
      <c r="V224" s="46"/>
      <c r="W224" s="45"/>
      <c r="X224" s="47"/>
      <c r="Y224" s="12"/>
      <c r="Z224" s="98"/>
      <c r="AA224" s="208"/>
      <c r="AB224" s="165"/>
      <c r="AC224" s="97"/>
      <c r="AF224" s="69"/>
      <c r="AG224" s="69"/>
      <c r="AX224" s="69"/>
      <c r="AY224" s="52"/>
      <c r="AZ224" s="58"/>
      <c r="BA224" s="58"/>
      <c r="BB224" s="58"/>
      <c r="BC224" s="58"/>
      <c r="BD224" s="58"/>
      <c r="BE224" s="69"/>
      <c r="BF224" s="52"/>
      <c r="BG224" s="58"/>
      <c r="BH224" s="65"/>
      <c r="BI224" s="65"/>
      <c r="BJ224" s="65"/>
      <c r="BK224" s="65"/>
      <c r="BL224" s="39"/>
      <c r="BM224" s="39"/>
      <c r="BN224" s="39"/>
      <c r="BO224" s="534"/>
      <c r="BP224" s="39">
        <f t="shared" si="266"/>
        <v>0</v>
      </c>
      <c r="BQ224" s="51"/>
      <c r="BR224" s="99" t="e">
        <f t="shared" si="267"/>
        <v>#DIV/0!</v>
      </c>
      <c r="BS224" s="40"/>
      <c r="BW224" s="280">
        <f t="shared" si="273"/>
        <v>0</v>
      </c>
      <c r="BX224" s="39">
        <f t="shared" si="257"/>
        <v>0</v>
      </c>
      <c r="BY224" s="51" t="e">
        <f t="shared" si="258"/>
        <v>#DIV/0!</v>
      </c>
    </row>
    <row r="225" spans="1:77" s="63" customFormat="1" ht="18" customHeight="1">
      <c r="A225" s="251" t="s">
        <v>400</v>
      </c>
      <c r="D225" s="323"/>
      <c r="E225" s="352"/>
      <c r="G225" s="10"/>
      <c r="H225" s="14"/>
      <c r="J225" s="10"/>
      <c r="K225" s="14"/>
      <c r="L225" s="46"/>
      <c r="M225" s="52"/>
      <c r="N225" s="48"/>
      <c r="O225" s="47"/>
      <c r="P225" s="46"/>
      <c r="Q225" s="36"/>
      <c r="R225" s="47"/>
      <c r="S225" s="12"/>
      <c r="T225" s="36"/>
      <c r="U225" s="47"/>
      <c r="V225" s="46"/>
      <c r="W225" s="45"/>
      <c r="X225" s="180"/>
      <c r="Y225" s="163"/>
      <c r="Z225" s="98"/>
      <c r="AA225" s="202"/>
      <c r="AB225" s="172"/>
      <c r="AC225" s="101"/>
      <c r="AF225" s="69"/>
      <c r="AG225" s="69"/>
      <c r="AX225" s="69"/>
      <c r="AY225" s="52"/>
      <c r="AZ225" s="58"/>
      <c r="BA225" s="58"/>
      <c r="BB225" s="58"/>
      <c r="BC225" s="58"/>
      <c r="BD225" s="58"/>
      <c r="BE225" s="69"/>
      <c r="BF225" s="52"/>
      <c r="BG225" s="58"/>
      <c r="BH225" s="65"/>
      <c r="BI225" s="65"/>
      <c r="BJ225" s="65"/>
      <c r="BK225" s="65"/>
      <c r="BL225" s="39"/>
      <c r="BM225" s="39"/>
      <c r="BN225" s="39"/>
      <c r="BO225" s="534"/>
      <c r="BP225" s="39">
        <f t="shared" si="266"/>
        <v>0</v>
      </c>
      <c r="BQ225" s="51"/>
      <c r="BR225" s="99" t="e">
        <f t="shared" si="267"/>
        <v>#DIV/0!</v>
      </c>
      <c r="BS225" s="40"/>
      <c r="BW225" s="280">
        <f t="shared" si="273"/>
        <v>0</v>
      </c>
      <c r="BX225" s="39">
        <f t="shared" si="257"/>
        <v>0</v>
      </c>
      <c r="BY225" s="51" t="e">
        <f t="shared" si="258"/>
        <v>#DIV/0!</v>
      </c>
    </row>
    <row r="226" spans="1:77" s="54" customFormat="1" ht="18" customHeight="1" thickBot="1">
      <c r="A226" s="247" t="s">
        <v>363</v>
      </c>
      <c r="D226" s="355"/>
      <c r="E226" s="352"/>
      <c r="G226" s="10"/>
      <c r="H226" s="14"/>
      <c r="J226" s="10"/>
      <c r="K226" s="14"/>
      <c r="L226" s="209"/>
      <c r="M226" s="75"/>
      <c r="N226" s="210"/>
      <c r="O226" s="211"/>
      <c r="P226" s="209"/>
      <c r="Q226" s="212"/>
      <c r="R226" s="211"/>
      <c r="S226" s="209"/>
      <c r="T226" s="212"/>
      <c r="U226" s="211"/>
      <c r="V226" s="209"/>
      <c r="W226" s="212"/>
      <c r="X226" s="215"/>
      <c r="Y226" s="216"/>
      <c r="Z226" s="217"/>
      <c r="AA226" s="206"/>
      <c r="AB226" s="174"/>
      <c r="AC226" s="129"/>
      <c r="AF226" s="75"/>
      <c r="AG226" s="75"/>
      <c r="AX226" s="75"/>
      <c r="AY226" s="75"/>
      <c r="AZ226" s="77"/>
      <c r="BA226" s="77"/>
      <c r="BB226" s="77"/>
      <c r="BC226" s="77"/>
      <c r="BD226" s="77"/>
      <c r="BE226" s="75"/>
      <c r="BF226" s="75"/>
      <c r="BG226" s="77"/>
      <c r="BH226" s="94"/>
      <c r="BI226" s="94"/>
      <c r="BJ226" s="94"/>
      <c r="BK226" s="94"/>
      <c r="BL226" s="102"/>
      <c r="BM226" s="102"/>
      <c r="BN226" s="102"/>
      <c r="BO226" s="535"/>
      <c r="BP226" s="39">
        <f t="shared" si="266"/>
        <v>0</v>
      </c>
      <c r="BQ226" s="55"/>
      <c r="BR226" s="99" t="e">
        <f t="shared" si="267"/>
        <v>#DIV/0!</v>
      </c>
      <c r="BS226" s="102"/>
      <c r="BW226" s="280">
        <f t="shared" si="273"/>
        <v>0</v>
      </c>
      <c r="BX226" s="39">
        <f t="shared" si="257"/>
        <v>0</v>
      </c>
      <c r="BY226" s="51" t="e">
        <f t="shared" si="258"/>
        <v>#DIV/0!</v>
      </c>
    </row>
    <row r="227" spans="1:77" s="63" customFormat="1" ht="18" hidden="1" customHeight="1">
      <c r="D227" s="323">
        <f t="shared" si="233"/>
        <v>0</v>
      </c>
      <c r="E227" s="352" t="e">
        <f t="shared" si="236"/>
        <v>#DIV/0!</v>
      </c>
      <c r="G227" s="10">
        <f t="shared" si="234"/>
        <v>0</v>
      </c>
      <c r="H227" s="14" t="e">
        <f t="shared" si="237"/>
        <v>#DIV/0!</v>
      </c>
      <c r="J227" s="10">
        <f t="shared" si="235"/>
        <v>0</v>
      </c>
      <c r="K227" s="14" t="e">
        <f t="shared" si="238"/>
        <v>#DIV/0!</v>
      </c>
      <c r="M227" s="52"/>
      <c r="N227" s="60"/>
      <c r="O227" s="81"/>
      <c r="P227" s="69"/>
      <c r="Q227" s="60"/>
      <c r="R227" s="52"/>
      <c r="S227" s="52"/>
      <c r="T227" s="60"/>
      <c r="U227" s="52"/>
      <c r="V227" s="69"/>
      <c r="W227" s="60"/>
      <c r="X227" s="166"/>
      <c r="Y227" s="157"/>
      <c r="Z227" s="95"/>
      <c r="AA227" s="202"/>
      <c r="AB227" s="172">
        <f t="shared" ref="AB227:AB241" si="277">AA224-X227</f>
        <v>0</v>
      </c>
      <c r="AC227" s="101"/>
      <c r="AF227" s="69"/>
      <c r="AG227" s="69"/>
      <c r="AX227" s="69"/>
      <c r="AY227" s="52">
        <f t="shared" si="269"/>
        <v>0</v>
      </c>
      <c r="AZ227" s="58" t="e">
        <f t="shared" si="270"/>
        <v>#DIV/0!</v>
      </c>
      <c r="BA227" s="58"/>
      <c r="BB227" s="58"/>
      <c r="BC227" s="58"/>
      <c r="BD227" s="58"/>
      <c r="BE227" s="69"/>
      <c r="BF227" s="52">
        <f t="shared" ref="BF227:BF242" si="278">BE227-AX227</f>
        <v>0</v>
      </c>
      <c r="BG227" s="58" t="e">
        <f t="shared" ref="BG227:BG242" si="279">BF227/AX227</f>
        <v>#DIV/0!</v>
      </c>
      <c r="BH227" s="65"/>
      <c r="BI227" s="65"/>
      <c r="BJ227" s="65"/>
      <c r="BK227" s="65"/>
      <c r="BL227" s="39">
        <f t="shared" si="271"/>
        <v>0</v>
      </c>
      <c r="BM227" s="39">
        <f t="shared" ref="BM227:BM242" si="280">BL227-AS227</f>
        <v>0</v>
      </c>
      <c r="BN227" s="39"/>
      <c r="BO227" s="534"/>
      <c r="BP227" s="39">
        <f t="shared" si="266"/>
        <v>0</v>
      </c>
      <c r="BQ227" s="51" t="e">
        <f t="shared" ref="BQ227:BQ242" si="281">BM227/AS227</f>
        <v>#DIV/0!</v>
      </c>
      <c r="BR227" s="99" t="e">
        <f t="shared" si="267"/>
        <v>#DIV/0!</v>
      </c>
      <c r="BS227" s="40"/>
      <c r="BW227" s="280">
        <f t="shared" si="273"/>
        <v>0</v>
      </c>
      <c r="BX227" s="39">
        <f t="shared" si="257"/>
        <v>0</v>
      </c>
      <c r="BY227" s="51" t="e">
        <f t="shared" si="258"/>
        <v>#DIV/0!</v>
      </c>
    </row>
    <row r="228" spans="1:77" s="63" customFormat="1" ht="18" hidden="1" customHeight="1">
      <c r="A228" s="53"/>
      <c r="D228" s="323">
        <f t="shared" si="233"/>
        <v>0</v>
      </c>
      <c r="E228" s="352" t="e">
        <f t="shared" si="236"/>
        <v>#DIV/0!</v>
      </c>
      <c r="G228" s="10">
        <f t="shared" si="234"/>
        <v>0</v>
      </c>
      <c r="H228" s="14" t="e">
        <f t="shared" si="237"/>
        <v>#DIV/0!</v>
      </c>
      <c r="J228" s="10">
        <f t="shared" si="235"/>
        <v>0</v>
      </c>
      <c r="K228" s="14" t="e">
        <f t="shared" si="238"/>
        <v>#DIV/0!</v>
      </c>
      <c r="M228" s="52"/>
      <c r="N228" s="60"/>
      <c r="O228" s="81"/>
      <c r="P228" s="69"/>
      <c r="Q228" s="60"/>
      <c r="R228" s="52"/>
      <c r="S228" s="52"/>
      <c r="T228" s="60"/>
      <c r="U228" s="52"/>
      <c r="V228" s="69"/>
      <c r="W228" s="60"/>
      <c r="X228" s="166"/>
      <c r="Y228" s="157"/>
      <c r="Z228" s="95"/>
      <c r="AA228" s="202">
        <v>363234</v>
      </c>
      <c r="AB228" s="172">
        <f t="shared" si="277"/>
        <v>0</v>
      </c>
      <c r="AC228" s="101"/>
      <c r="AF228" s="69"/>
      <c r="AG228" s="69"/>
      <c r="AX228" s="69"/>
      <c r="AY228" s="52">
        <f t="shared" si="269"/>
        <v>0</v>
      </c>
      <c r="AZ228" s="58" t="e">
        <f t="shared" si="270"/>
        <v>#DIV/0!</v>
      </c>
      <c r="BA228" s="58"/>
      <c r="BB228" s="58"/>
      <c r="BC228" s="58"/>
      <c r="BD228" s="58"/>
      <c r="BE228" s="69"/>
      <c r="BF228" s="52">
        <f t="shared" si="278"/>
        <v>0</v>
      </c>
      <c r="BG228" s="58" t="e">
        <f t="shared" si="279"/>
        <v>#DIV/0!</v>
      </c>
      <c r="BH228" s="65"/>
      <c r="BI228" s="65"/>
      <c r="BJ228" s="65"/>
      <c r="BK228" s="65"/>
      <c r="BL228" s="39">
        <f t="shared" si="271"/>
        <v>0</v>
      </c>
      <c r="BM228" s="39">
        <f t="shared" si="280"/>
        <v>0</v>
      </c>
      <c r="BN228" s="39"/>
      <c r="BO228" s="534"/>
      <c r="BP228" s="39">
        <f t="shared" si="266"/>
        <v>0</v>
      </c>
      <c r="BQ228" s="51" t="e">
        <f t="shared" si="281"/>
        <v>#DIV/0!</v>
      </c>
      <c r="BR228" s="99" t="e">
        <f t="shared" si="267"/>
        <v>#DIV/0!</v>
      </c>
      <c r="BS228" s="40"/>
      <c r="BW228" s="280">
        <f t="shared" si="273"/>
        <v>0</v>
      </c>
      <c r="BX228" s="39">
        <f t="shared" si="257"/>
        <v>0</v>
      </c>
      <c r="BY228" s="51" t="e">
        <f t="shared" si="258"/>
        <v>#DIV/0!</v>
      </c>
    </row>
    <row r="229" spans="1:77" s="63" customFormat="1" ht="18" hidden="1" customHeight="1">
      <c r="A229" s="53"/>
      <c r="D229" s="323">
        <f t="shared" si="233"/>
        <v>0</v>
      </c>
      <c r="E229" s="352" t="e">
        <f t="shared" si="236"/>
        <v>#DIV/0!</v>
      </c>
      <c r="G229" s="10">
        <f t="shared" si="234"/>
        <v>0</v>
      </c>
      <c r="H229" s="14" t="e">
        <f t="shared" si="237"/>
        <v>#DIV/0!</v>
      </c>
      <c r="J229" s="10">
        <f t="shared" si="235"/>
        <v>0</v>
      </c>
      <c r="K229" s="14" t="e">
        <f t="shared" si="238"/>
        <v>#DIV/0!</v>
      </c>
      <c r="M229" s="52"/>
      <c r="N229" s="60"/>
      <c r="O229" s="81"/>
      <c r="P229" s="69"/>
      <c r="Q229" s="60"/>
      <c r="R229" s="52"/>
      <c r="S229" s="52"/>
      <c r="T229" s="60"/>
      <c r="U229" s="52"/>
      <c r="V229" s="69"/>
      <c r="W229" s="60"/>
      <c r="X229" s="166"/>
      <c r="Y229" s="157"/>
      <c r="Z229" s="95"/>
      <c r="AA229" s="202">
        <v>56491</v>
      </c>
      <c r="AB229" s="172">
        <f t="shared" si="277"/>
        <v>0</v>
      </c>
      <c r="AC229" s="101"/>
      <c r="AF229" s="69"/>
      <c r="AG229" s="69"/>
      <c r="AX229" s="69"/>
      <c r="AY229" s="52">
        <f t="shared" si="269"/>
        <v>0</v>
      </c>
      <c r="AZ229" s="58" t="e">
        <f t="shared" si="270"/>
        <v>#DIV/0!</v>
      </c>
      <c r="BA229" s="58"/>
      <c r="BB229" s="58"/>
      <c r="BC229" s="58"/>
      <c r="BD229" s="58"/>
      <c r="BE229" s="69"/>
      <c r="BF229" s="52">
        <f t="shared" si="278"/>
        <v>0</v>
      </c>
      <c r="BG229" s="58" t="e">
        <f t="shared" si="279"/>
        <v>#DIV/0!</v>
      </c>
      <c r="BH229" s="65"/>
      <c r="BI229" s="65"/>
      <c r="BJ229" s="65"/>
      <c r="BK229" s="65"/>
      <c r="BL229" s="39">
        <f t="shared" si="271"/>
        <v>0</v>
      </c>
      <c r="BM229" s="39">
        <f t="shared" si="280"/>
        <v>0</v>
      </c>
      <c r="BN229" s="39"/>
      <c r="BO229" s="534"/>
      <c r="BP229" s="39">
        <f t="shared" si="266"/>
        <v>0</v>
      </c>
      <c r="BQ229" s="51" t="e">
        <f t="shared" si="281"/>
        <v>#DIV/0!</v>
      </c>
      <c r="BR229" s="99" t="e">
        <f t="shared" si="267"/>
        <v>#DIV/0!</v>
      </c>
      <c r="BS229" s="40"/>
      <c r="BW229" s="280">
        <f t="shared" si="273"/>
        <v>0</v>
      </c>
      <c r="BX229" s="39">
        <f t="shared" si="257"/>
        <v>0</v>
      </c>
      <c r="BY229" s="51" t="e">
        <f t="shared" si="258"/>
        <v>#DIV/0!</v>
      </c>
    </row>
    <row r="230" spans="1:77" s="63" customFormat="1" ht="18" hidden="1" customHeight="1">
      <c r="A230" s="53"/>
      <c r="D230" s="323">
        <f t="shared" si="233"/>
        <v>0</v>
      </c>
      <c r="E230" s="352" t="e">
        <f t="shared" si="236"/>
        <v>#DIV/0!</v>
      </c>
      <c r="G230" s="10">
        <f t="shared" si="234"/>
        <v>0</v>
      </c>
      <c r="H230" s="14" t="e">
        <f t="shared" si="237"/>
        <v>#DIV/0!</v>
      </c>
      <c r="J230" s="10">
        <f t="shared" si="235"/>
        <v>0</v>
      </c>
      <c r="K230" s="14" t="e">
        <f t="shared" si="238"/>
        <v>#DIV/0!</v>
      </c>
      <c r="M230" s="52"/>
      <c r="N230" s="60"/>
      <c r="O230" s="81"/>
      <c r="P230" s="69"/>
      <c r="Q230" s="60"/>
      <c r="R230" s="52"/>
      <c r="S230" s="52"/>
      <c r="T230" s="60"/>
      <c r="U230" s="52"/>
      <c r="V230" s="69"/>
      <c r="W230" s="60"/>
      <c r="X230" s="166"/>
      <c r="Y230" s="157"/>
      <c r="Z230" s="95"/>
      <c r="AA230" s="202">
        <v>265000</v>
      </c>
      <c r="AB230" s="172">
        <f t="shared" si="277"/>
        <v>0</v>
      </c>
      <c r="AC230" s="101"/>
      <c r="AF230" s="69"/>
      <c r="AG230" s="69"/>
      <c r="AX230" s="69"/>
      <c r="AY230" s="52">
        <f t="shared" si="269"/>
        <v>0</v>
      </c>
      <c r="AZ230" s="58" t="e">
        <f t="shared" si="270"/>
        <v>#DIV/0!</v>
      </c>
      <c r="BA230" s="58"/>
      <c r="BB230" s="58"/>
      <c r="BC230" s="58"/>
      <c r="BD230" s="58"/>
      <c r="BE230" s="69"/>
      <c r="BF230" s="52">
        <f t="shared" si="278"/>
        <v>0</v>
      </c>
      <c r="BG230" s="58" t="e">
        <f t="shared" si="279"/>
        <v>#DIV/0!</v>
      </c>
      <c r="BH230" s="65"/>
      <c r="BI230" s="65"/>
      <c r="BJ230" s="65"/>
      <c r="BK230" s="65"/>
      <c r="BL230" s="39">
        <f t="shared" si="271"/>
        <v>0</v>
      </c>
      <c r="BM230" s="39">
        <f t="shared" si="280"/>
        <v>0</v>
      </c>
      <c r="BN230" s="39"/>
      <c r="BO230" s="534"/>
      <c r="BP230" s="39">
        <f t="shared" si="266"/>
        <v>0</v>
      </c>
      <c r="BQ230" s="51" t="e">
        <f t="shared" si="281"/>
        <v>#DIV/0!</v>
      </c>
      <c r="BR230" s="99" t="e">
        <f t="shared" si="267"/>
        <v>#DIV/0!</v>
      </c>
      <c r="BS230" s="40"/>
      <c r="BW230" s="280">
        <f t="shared" si="273"/>
        <v>0</v>
      </c>
      <c r="BX230" s="39">
        <f t="shared" si="257"/>
        <v>0</v>
      </c>
      <c r="BY230" s="51" t="e">
        <f t="shared" si="258"/>
        <v>#DIV/0!</v>
      </c>
    </row>
    <row r="231" spans="1:77" s="63" customFormat="1" ht="18" hidden="1" customHeight="1">
      <c r="A231" s="53"/>
      <c r="D231" s="323">
        <f t="shared" si="233"/>
        <v>0</v>
      </c>
      <c r="E231" s="352" t="e">
        <f t="shared" si="236"/>
        <v>#DIV/0!</v>
      </c>
      <c r="G231" s="10">
        <f t="shared" si="234"/>
        <v>0</v>
      </c>
      <c r="H231" s="14" t="e">
        <f t="shared" si="237"/>
        <v>#DIV/0!</v>
      </c>
      <c r="J231" s="10">
        <f t="shared" si="235"/>
        <v>0</v>
      </c>
      <c r="K231" s="14" t="e">
        <f t="shared" si="238"/>
        <v>#DIV/0!</v>
      </c>
      <c r="M231" s="52"/>
      <c r="N231" s="60"/>
      <c r="O231" s="81"/>
      <c r="P231" s="69"/>
      <c r="Q231" s="60"/>
      <c r="R231" s="52"/>
      <c r="S231" s="52"/>
      <c r="T231" s="60"/>
      <c r="U231" s="52"/>
      <c r="V231" s="69"/>
      <c r="W231" s="60"/>
      <c r="X231" s="166"/>
      <c r="Y231" s="157"/>
      <c r="Z231" s="95"/>
      <c r="AA231" s="202">
        <v>7603</v>
      </c>
      <c r="AB231" s="172">
        <f t="shared" si="277"/>
        <v>363234</v>
      </c>
      <c r="AC231" s="101"/>
      <c r="AF231" s="69"/>
      <c r="AG231" s="69"/>
      <c r="AX231" s="69"/>
      <c r="AY231" s="52">
        <f t="shared" si="269"/>
        <v>0</v>
      </c>
      <c r="AZ231" s="58" t="e">
        <f t="shared" si="270"/>
        <v>#DIV/0!</v>
      </c>
      <c r="BA231" s="58"/>
      <c r="BB231" s="58"/>
      <c r="BC231" s="58"/>
      <c r="BD231" s="58"/>
      <c r="BE231" s="69"/>
      <c r="BF231" s="52">
        <f t="shared" si="278"/>
        <v>0</v>
      </c>
      <c r="BG231" s="58" t="e">
        <f t="shared" si="279"/>
        <v>#DIV/0!</v>
      </c>
      <c r="BH231" s="65"/>
      <c r="BI231" s="65"/>
      <c r="BJ231" s="65"/>
      <c r="BK231" s="65"/>
      <c r="BL231" s="39">
        <f t="shared" si="271"/>
        <v>0</v>
      </c>
      <c r="BM231" s="39">
        <f t="shared" si="280"/>
        <v>0</v>
      </c>
      <c r="BN231" s="39"/>
      <c r="BO231" s="534"/>
      <c r="BP231" s="39">
        <f t="shared" si="266"/>
        <v>0</v>
      </c>
      <c r="BQ231" s="51" t="e">
        <f t="shared" si="281"/>
        <v>#DIV/0!</v>
      </c>
      <c r="BR231" s="99" t="e">
        <f t="shared" si="267"/>
        <v>#DIV/0!</v>
      </c>
      <c r="BS231" s="40"/>
      <c r="BW231" s="280">
        <f t="shared" si="273"/>
        <v>0</v>
      </c>
      <c r="BX231" s="39">
        <f t="shared" si="257"/>
        <v>0</v>
      </c>
      <c r="BY231" s="51" t="e">
        <f t="shared" si="258"/>
        <v>#DIV/0!</v>
      </c>
    </row>
    <row r="232" spans="1:77" s="63" customFormat="1" ht="18" hidden="1" customHeight="1">
      <c r="A232" s="53"/>
      <c r="D232" s="323">
        <f t="shared" si="233"/>
        <v>0</v>
      </c>
      <c r="E232" s="352" t="e">
        <f t="shared" si="236"/>
        <v>#DIV/0!</v>
      </c>
      <c r="G232" s="10">
        <f t="shared" si="234"/>
        <v>0</v>
      </c>
      <c r="H232" s="14" t="e">
        <f t="shared" si="237"/>
        <v>#DIV/0!</v>
      </c>
      <c r="J232" s="10">
        <f t="shared" si="235"/>
        <v>0</v>
      </c>
      <c r="K232" s="14" t="e">
        <f t="shared" si="238"/>
        <v>#DIV/0!</v>
      </c>
      <c r="M232" s="52"/>
      <c r="N232" s="60"/>
      <c r="O232" s="81"/>
      <c r="P232" s="69"/>
      <c r="Q232" s="60"/>
      <c r="R232" s="52"/>
      <c r="S232" s="52"/>
      <c r="T232" s="60"/>
      <c r="U232" s="52"/>
      <c r="V232" s="69"/>
      <c r="W232" s="60"/>
      <c r="X232" s="166"/>
      <c r="Y232" s="157"/>
      <c r="Z232" s="95"/>
      <c r="AA232" s="202">
        <v>32624</v>
      </c>
      <c r="AB232" s="172">
        <f t="shared" si="277"/>
        <v>56491</v>
      </c>
      <c r="AC232" s="101"/>
      <c r="AF232" s="69"/>
      <c r="AG232" s="69"/>
      <c r="AX232" s="69"/>
      <c r="AY232" s="52">
        <f t="shared" si="269"/>
        <v>0</v>
      </c>
      <c r="AZ232" s="58" t="e">
        <f t="shared" si="270"/>
        <v>#DIV/0!</v>
      </c>
      <c r="BA232" s="58"/>
      <c r="BB232" s="58"/>
      <c r="BC232" s="58"/>
      <c r="BD232" s="58"/>
      <c r="BE232" s="69"/>
      <c r="BF232" s="52">
        <f t="shared" si="278"/>
        <v>0</v>
      </c>
      <c r="BG232" s="58" t="e">
        <f t="shared" si="279"/>
        <v>#DIV/0!</v>
      </c>
      <c r="BH232" s="65"/>
      <c r="BI232" s="65"/>
      <c r="BJ232" s="65"/>
      <c r="BK232" s="65"/>
      <c r="BL232" s="39">
        <f t="shared" si="271"/>
        <v>0</v>
      </c>
      <c r="BM232" s="39">
        <f t="shared" si="280"/>
        <v>0</v>
      </c>
      <c r="BN232" s="39"/>
      <c r="BO232" s="534"/>
      <c r="BP232" s="39">
        <f t="shared" si="266"/>
        <v>0</v>
      </c>
      <c r="BQ232" s="51" t="e">
        <f t="shared" si="281"/>
        <v>#DIV/0!</v>
      </c>
      <c r="BR232" s="99" t="e">
        <f t="shared" si="267"/>
        <v>#DIV/0!</v>
      </c>
      <c r="BS232" s="40"/>
      <c r="BW232" s="280">
        <f t="shared" si="273"/>
        <v>0</v>
      </c>
      <c r="BX232" s="39">
        <f t="shared" si="257"/>
        <v>0</v>
      </c>
      <c r="BY232" s="51" t="e">
        <f t="shared" si="258"/>
        <v>#DIV/0!</v>
      </c>
    </row>
    <row r="233" spans="1:77" s="63" customFormat="1" ht="18" hidden="1" customHeight="1">
      <c r="A233" s="53"/>
      <c r="D233" s="323">
        <f t="shared" si="233"/>
        <v>0</v>
      </c>
      <c r="E233" s="352" t="e">
        <f t="shared" si="236"/>
        <v>#DIV/0!</v>
      </c>
      <c r="G233" s="10">
        <f t="shared" si="234"/>
        <v>0</v>
      </c>
      <c r="H233" s="14" t="e">
        <f t="shared" si="237"/>
        <v>#DIV/0!</v>
      </c>
      <c r="J233" s="10">
        <f t="shared" si="235"/>
        <v>0</v>
      </c>
      <c r="K233" s="14" t="e">
        <f t="shared" si="238"/>
        <v>#DIV/0!</v>
      </c>
      <c r="M233" s="52"/>
      <c r="N233" s="60"/>
      <c r="O233" s="81"/>
      <c r="P233" s="69"/>
      <c r="Q233" s="60"/>
      <c r="R233" s="52"/>
      <c r="S233" s="52"/>
      <c r="T233" s="60"/>
      <c r="U233" s="52"/>
      <c r="V233" s="69"/>
      <c r="W233" s="60"/>
      <c r="X233" s="166"/>
      <c r="Y233" s="157"/>
      <c r="Z233" s="95"/>
      <c r="AA233" s="202">
        <v>96696</v>
      </c>
      <c r="AB233" s="172">
        <f t="shared" si="277"/>
        <v>265000</v>
      </c>
      <c r="AC233" s="101"/>
      <c r="AF233" s="69"/>
      <c r="AG233" s="69"/>
      <c r="AX233" s="69"/>
      <c r="AY233" s="52">
        <f t="shared" si="269"/>
        <v>0</v>
      </c>
      <c r="AZ233" s="58" t="e">
        <f t="shared" si="270"/>
        <v>#DIV/0!</v>
      </c>
      <c r="BA233" s="58"/>
      <c r="BB233" s="58"/>
      <c r="BC233" s="58"/>
      <c r="BD233" s="58"/>
      <c r="BE233" s="69"/>
      <c r="BF233" s="52">
        <f t="shared" si="278"/>
        <v>0</v>
      </c>
      <c r="BG233" s="58" t="e">
        <f t="shared" si="279"/>
        <v>#DIV/0!</v>
      </c>
      <c r="BH233" s="65"/>
      <c r="BI233" s="65"/>
      <c r="BJ233" s="65"/>
      <c r="BK233" s="65"/>
      <c r="BL233" s="39">
        <f t="shared" si="271"/>
        <v>0</v>
      </c>
      <c r="BM233" s="39">
        <f t="shared" si="280"/>
        <v>0</v>
      </c>
      <c r="BN233" s="39"/>
      <c r="BO233" s="534"/>
      <c r="BP233" s="39">
        <f t="shared" si="266"/>
        <v>0</v>
      </c>
      <c r="BQ233" s="51" t="e">
        <f t="shared" si="281"/>
        <v>#DIV/0!</v>
      </c>
      <c r="BR233" s="99" t="e">
        <f t="shared" si="267"/>
        <v>#DIV/0!</v>
      </c>
      <c r="BS233" s="40"/>
      <c r="BW233" s="280">
        <f t="shared" si="273"/>
        <v>0</v>
      </c>
      <c r="BX233" s="39">
        <f t="shared" si="257"/>
        <v>0</v>
      </c>
      <c r="BY233" s="51" t="e">
        <f t="shared" si="258"/>
        <v>#DIV/0!</v>
      </c>
    </row>
    <row r="234" spans="1:77" s="63" customFormat="1" ht="18" hidden="1" customHeight="1">
      <c r="A234" s="53"/>
      <c r="D234" s="323">
        <f t="shared" si="233"/>
        <v>0</v>
      </c>
      <c r="E234" s="352" t="e">
        <f t="shared" si="236"/>
        <v>#DIV/0!</v>
      </c>
      <c r="G234" s="10">
        <f t="shared" si="234"/>
        <v>0</v>
      </c>
      <c r="H234" s="14" t="e">
        <f t="shared" si="237"/>
        <v>#DIV/0!</v>
      </c>
      <c r="J234" s="10">
        <f t="shared" si="235"/>
        <v>0</v>
      </c>
      <c r="K234" s="14" t="e">
        <f t="shared" si="238"/>
        <v>#DIV/0!</v>
      </c>
      <c r="M234" s="52"/>
      <c r="N234" s="60"/>
      <c r="O234" s="81"/>
      <c r="P234" s="69"/>
      <c r="Q234" s="60"/>
      <c r="R234" s="52"/>
      <c r="S234" s="52"/>
      <c r="T234" s="60"/>
      <c r="U234" s="52"/>
      <c r="V234" s="69"/>
      <c r="W234" s="60"/>
      <c r="X234" s="166"/>
      <c r="Y234" s="157"/>
      <c r="Z234" s="95"/>
      <c r="AA234" s="202">
        <v>7919</v>
      </c>
      <c r="AB234" s="172">
        <f t="shared" si="277"/>
        <v>7603</v>
      </c>
      <c r="AC234" s="101"/>
      <c r="AF234" s="69"/>
      <c r="AG234" s="69"/>
      <c r="AX234" s="69"/>
      <c r="AY234" s="52">
        <f t="shared" si="269"/>
        <v>0</v>
      </c>
      <c r="AZ234" s="58" t="e">
        <f t="shared" si="270"/>
        <v>#DIV/0!</v>
      </c>
      <c r="BA234" s="58"/>
      <c r="BB234" s="58"/>
      <c r="BC234" s="58"/>
      <c r="BD234" s="58"/>
      <c r="BE234" s="69"/>
      <c r="BF234" s="52">
        <f t="shared" si="278"/>
        <v>0</v>
      </c>
      <c r="BG234" s="58" t="e">
        <f t="shared" si="279"/>
        <v>#DIV/0!</v>
      </c>
      <c r="BH234" s="65"/>
      <c r="BI234" s="65"/>
      <c r="BJ234" s="65"/>
      <c r="BK234" s="65"/>
      <c r="BL234" s="39">
        <f t="shared" si="271"/>
        <v>0</v>
      </c>
      <c r="BM234" s="39">
        <f t="shared" si="280"/>
        <v>0</v>
      </c>
      <c r="BN234" s="39"/>
      <c r="BO234" s="534"/>
      <c r="BP234" s="39">
        <f t="shared" si="266"/>
        <v>0</v>
      </c>
      <c r="BQ234" s="51" t="e">
        <f t="shared" si="281"/>
        <v>#DIV/0!</v>
      </c>
      <c r="BR234" s="99" t="e">
        <f t="shared" si="267"/>
        <v>#DIV/0!</v>
      </c>
      <c r="BS234" s="40"/>
      <c r="BW234" s="280">
        <f t="shared" si="273"/>
        <v>0</v>
      </c>
      <c r="BX234" s="39">
        <f t="shared" si="257"/>
        <v>0</v>
      </c>
      <c r="BY234" s="51" t="e">
        <f t="shared" si="258"/>
        <v>#DIV/0!</v>
      </c>
    </row>
    <row r="235" spans="1:77" s="63" customFormat="1" ht="18" hidden="1" customHeight="1">
      <c r="A235" s="53"/>
      <c r="D235" s="323">
        <f t="shared" si="233"/>
        <v>0</v>
      </c>
      <c r="E235" s="352" t="e">
        <f t="shared" si="236"/>
        <v>#DIV/0!</v>
      </c>
      <c r="G235" s="10">
        <f t="shared" si="234"/>
        <v>0</v>
      </c>
      <c r="H235" s="14" t="e">
        <f t="shared" si="237"/>
        <v>#DIV/0!</v>
      </c>
      <c r="J235" s="10">
        <f t="shared" si="235"/>
        <v>0</v>
      </c>
      <c r="K235" s="14" t="e">
        <f t="shared" si="238"/>
        <v>#DIV/0!</v>
      </c>
      <c r="M235" s="52"/>
      <c r="N235" s="60"/>
      <c r="O235" s="81"/>
      <c r="P235" s="69"/>
      <c r="Q235" s="60"/>
      <c r="R235" s="52"/>
      <c r="S235" s="52"/>
      <c r="T235" s="60"/>
      <c r="U235" s="52"/>
      <c r="V235" s="69"/>
      <c r="W235" s="60"/>
      <c r="X235" s="166"/>
      <c r="Y235" s="157"/>
      <c r="Z235" s="95"/>
      <c r="AA235" s="202">
        <v>98889</v>
      </c>
      <c r="AB235" s="172">
        <f t="shared" si="277"/>
        <v>32624</v>
      </c>
      <c r="AC235" s="101"/>
      <c r="AF235" s="69"/>
      <c r="AG235" s="69"/>
      <c r="AX235" s="69"/>
      <c r="AY235" s="52">
        <f t="shared" si="269"/>
        <v>0</v>
      </c>
      <c r="AZ235" s="58" t="e">
        <f t="shared" si="270"/>
        <v>#DIV/0!</v>
      </c>
      <c r="BA235" s="58"/>
      <c r="BB235" s="58"/>
      <c r="BC235" s="58"/>
      <c r="BD235" s="58"/>
      <c r="BE235" s="69"/>
      <c r="BF235" s="52">
        <f t="shared" si="278"/>
        <v>0</v>
      </c>
      <c r="BG235" s="58" t="e">
        <f t="shared" si="279"/>
        <v>#DIV/0!</v>
      </c>
      <c r="BH235" s="65"/>
      <c r="BI235" s="65"/>
      <c r="BJ235" s="65"/>
      <c r="BK235" s="65"/>
      <c r="BL235" s="39">
        <f t="shared" si="271"/>
        <v>0</v>
      </c>
      <c r="BM235" s="39">
        <f t="shared" si="280"/>
        <v>0</v>
      </c>
      <c r="BN235" s="39"/>
      <c r="BO235" s="534"/>
      <c r="BP235" s="39">
        <f t="shared" si="266"/>
        <v>0</v>
      </c>
      <c r="BQ235" s="51" t="e">
        <f t="shared" si="281"/>
        <v>#DIV/0!</v>
      </c>
      <c r="BR235" s="99" t="e">
        <f t="shared" si="267"/>
        <v>#DIV/0!</v>
      </c>
      <c r="BS235" s="40"/>
      <c r="BW235" s="280">
        <f t="shared" si="273"/>
        <v>0</v>
      </c>
      <c r="BX235" s="39">
        <f t="shared" si="257"/>
        <v>0</v>
      </c>
      <c r="BY235" s="51" t="e">
        <f t="shared" si="258"/>
        <v>#DIV/0!</v>
      </c>
    </row>
    <row r="236" spans="1:77" s="63" customFormat="1" ht="18" hidden="1" customHeight="1">
      <c r="A236" s="53"/>
      <c r="D236" s="323">
        <f t="shared" si="233"/>
        <v>0</v>
      </c>
      <c r="E236" s="352" t="e">
        <f t="shared" si="236"/>
        <v>#DIV/0!</v>
      </c>
      <c r="G236" s="10">
        <f t="shared" si="234"/>
        <v>0</v>
      </c>
      <c r="H236" s="14" t="e">
        <f t="shared" si="237"/>
        <v>#DIV/0!</v>
      </c>
      <c r="J236" s="10">
        <f t="shared" si="235"/>
        <v>0</v>
      </c>
      <c r="K236" s="14" t="e">
        <f t="shared" si="238"/>
        <v>#DIV/0!</v>
      </c>
      <c r="M236" s="52"/>
      <c r="N236" s="60"/>
      <c r="O236" s="81"/>
      <c r="P236" s="69"/>
      <c r="Q236" s="60"/>
      <c r="R236" s="52"/>
      <c r="S236" s="52"/>
      <c r="T236" s="60"/>
      <c r="U236" s="52"/>
      <c r="V236" s="69"/>
      <c r="W236" s="60"/>
      <c r="X236" s="166"/>
      <c r="Y236" s="157"/>
      <c r="Z236" s="95"/>
      <c r="AA236" s="202">
        <v>2400</v>
      </c>
      <c r="AB236" s="172">
        <f t="shared" si="277"/>
        <v>96696</v>
      </c>
      <c r="AC236" s="101"/>
      <c r="AF236" s="69"/>
      <c r="AG236" s="69"/>
      <c r="AX236" s="69"/>
      <c r="AY236" s="52">
        <f t="shared" si="269"/>
        <v>0</v>
      </c>
      <c r="AZ236" s="58" t="e">
        <f t="shared" si="270"/>
        <v>#DIV/0!</v>
      </c>
      <c r="BA236" s="58"/>
      <c r="BB236" s="58"/>
      <c r="BC236" s="58"/>
      <c r="BD236" s="58"/>
      <c r="BE236" s="69"/>
      <c r="BF236" s="52">
        <f t="shared" si="278"/>
        <v>0</v>
      </c>
      <c r="BG236" s="58" t="e">
        <f t="shared" si="279"/>
        <v>#DIV/0!</v>
      </c>
      <c r="BH236" s="65"/>
      <c r="BI236" s="65"/>
      <c r="BJ236" s="65"/>
      <c r="BK236" s="65"/>
      <c r="BL236" s="39">
        <f t="shared" si="271"/>
        <v>0</v>
      </c>
      <c r="BM236" s="39">
        <f t="shared" si="280"/>
        <v>0</v>
      </c>
      <c r="BN236" s="39"/>
      <c r="BO236" s="534"/>
      <c r="BP236" s="39">
        <f t="shared" si="266"/>
        <v>0</v>
      </c>
      <c r="BQ236" s="51" t="e">
        <f t="shared" si="281"/>
        <v>#DIV/0!</v>
      </c>
      <c r="BR236" s="99" t="e">
        <f t="shared" si="267"/>
        <v>#DIV/0!</v>
      </c>
      <c r="BS236" s="40"/>
      <c r="BW236" s="280">
        <f t="shared" si="273"/>
        <v>0</v>
      </c>
      <c r="BX236" s="39">
        <f t="shared" si="257"/>
        <v>0</v>
      </c>
      <c r="BY236" s="51" t="e">
        <f t="shared" si="258"/>
        <v>#DIV/0!</v>
      </c>
    </row>
    <row r="237" spans="1:77" s="63" customFormat="1" ht="18" hidden="1" customHeight="1">
      <c r="A237" s="53"/>
      <c r="D237" s="323">
        <f t="shared" si="233"/>
        <v>0</v>
      </c>
      <c r="E237" s="352" t="e">
        <f t="shared" si="236"/>
        <v>#DIV/0!</v>
      </c>
      <c r="G237" s="10">
        <f t="shared" si="234"/>
        <v>0</v>
      </c>
      <c r="H237" s="14" t="e">
        <f t="shared" si="237"/>
        <v>#DIV/0!</v>
      </c>
      <c r="J237" s="10">
        <f t="shared" si="235"/>
        <v>0</v>
      </c>
      <c r="K237" s="14" t="e">
        <f t="shared" si="238"/>
        <v>#DIV/0!</v>
      </c>
      <c r="M237" s="52"/>
      <c r="N237" s="60"/>
      <c r="O237" s="81"/>
      <c r="P237" s="69"/>
      <c r="Q237" s="60"/>
      <c r="R237" s="52"/>
      <c r="S237" s="52"/>
      <c r="T237" s="60"/>
      <c r="U237" s="52"/>
      <c r="V237" s="69"/>
      <c r="W237" s="60"/>
      <c r="X237" s="166"/>
      <c r="Y237" s="157"/>
      <c r="Z237" s="95"/>
      <c r="AA237" s="202">
        <v>17</v>
      </c>
      <c r="AB237" s="172">
        <f t="shared" si="277"/>
        <v>7919</v>
      </c>
      <c r="AC237" s="101"/>
      <c r="AF237" s="69"/>
      <c r="AG237" s="69"/>
      <c r="AX237" s="69"/>
      <c r="AY237" s="52">
        <f t="shared" si="269"/>
        <v>0</v>
      </c>
      <c r="AZ237" s="58" t="e">
        <f t="shared" si="270"/>
        <v>#DIV/0!</v>
      </c>
      <c r="BA237" s="58"/>
      <c r="BB237" s="58"/>
      <c r="BC237" s="58"/>
      <c r="BD237" s="58"/>
      <c r="BE237" s="69"/>
      <c r="BF237" s="52">
        <f t="shared" si="278"/>
        <v>0</v>
      </c>
      <c r="BG237" s="58" t="e">
        <f t="shared" si="279"/>
        <v>#DIV/0!</v>
      </c>
      <c r="BH237" s="65"/>
      <c r="BI237" s="65"/>
      <c r="BJ237" s="65"/>
      <c r="BK237" s="65"/>
      <c r="BL237" s="39">
        <f t="shared" si="271"/>
        <v>0</v>
      </c>
      <c r="BM237" s="39">
        <f t="shared" si="280"/>
        <v>0</v>
      </c>
      <c r="BN237" s="39"/>
      <c r="BO237" s="534"/>
      <c r="BP237" s="39">
        <f t="shared" si="266"/>
        <v>0</v>
      </c>
      <c r="BQ237" s="51" t="e">
        <f t="shared" si="281"/>
        <v>#DIV/0!</v>
      </c>
      <c r="BR237" s="99" t="e">
        <f t="shared" si="267"/>
        <v>#DIV/0!</v>
      </c>
      <c r="BS237" s="40"/>
      <c r="BW237" s="280">
        <f t="shared" si="273"/>
        <v>0</v>
      </c>
      <c r="BX237" s="39">
        <f t="shared" si="257"/>
        <v>0</v>
      </c>
      <c r="BY237" s="51" t="e">
        <f t="shared" si="258"/>
        <v>#DIV/0!</v>
      </c>
    </row>
    <row r="238" spans="1:77" s="63" customFormat="1" ht="18" hidden="1" customHeight="1">
      <c r="A238" s="53"/>
      <c r="D238" s="323">
        <f t="shared" si="233"/>
        <v>0</v>
      </c>
      <c r="E238" s="352" t="e">
        <f t="shared" si="236"/>
        <v>#DIV/0!</v>
      </c>
      <c r="G238" s="10">
        <f t="shared" si="234"/>
        <v>0</v>
      </c>
      <c r="H238" s="14" t="e">
        <f t="shared" si="237"/>
        <v>#DIV/0!</v>
      </c>
      <c r="J238" s="10">
        <f t="shared" si="235"/>
        <v>0</v>
      </c>
      <c r="K238" s="14" t="e">
        <f t="shared" si="238"/>
        <v>#DIV/0!</v>
      </c>
      <c r="M238" s="52"/>
      <c r="N238" s="60"/>
      <c r="O238" s="81"/>
      <c r="P238" s="69"/>
      <c r="Q238" s="60"/>
      <c r="R238" s="52"/>
      <c r="S238" s="52"/>
      <c r="T238" s="60"/>
      <c r="U238" s="52"/>
      <c r="V238" s="69"/>
      <c r="W238" s="60"/>
      <c r="X238" s="166"/>
      <c r="Y238" s="157"/>
      <c r="Z238" s="95"/>
      <c r="AA238" s="202">
        <v>180000</v>
      </c>
      <c r="AB238" s="172">
        <f t="shared" si="277"/>
        <v>98889</v>
      </c>
      <c r="AC238" s="101"/>
      <c r="AF238" s="69"/>
      <c r="AG238" s="69"/>
      <c r="AX238" s="69"/>
      <c r="AY238" s="52">
        <f t="shared" si="269"/>
        <v>0</v>
      </c>
      <c r="AZ238" s="58" t="e">
        <f t="shared" si="270"/>
        <v>#DIV/0!</v>
      </c>
      <c r="BA238" s="58"/>
      <c r="BB238" s="58"/>
      <c r="BC238" s="58"/>
      <c r="BD238" s="58"/>
      <c r="BE238" s="69"/>
      <c r="BF238" s="52">
        <f t="shared" si="278"/>
        <v>0</v>
      </c>
      <c r="BG238" s="58" t="e">
        <f t="shared" si="279"/>
        <v>#DIV/0!</v>
      </c>
      <c r="BH238" s="65"/>
      <c r="BI238" s="65"/>
      <c r="BJ238" s="65"/>
      <c r="BK238" s="65"/>
      <c r="BL238" s="39">
        <f t="shared" si="271"/>
        <v>0</v>
      </c>
      <c r="BM238" s="39">
        <f t="shared" si="280"/>
        <v>0</v>
      </c>
      <c r="BN238" s="39"/>
      <c r="BO238" s="534"/>
      <c r="BP238" s="39">
        <f t="shared" si="266"/>
        <v>0</v>
      </c>
      <c r="BQ238" s="51" t="e">
        <f t="shared" si="281"/>
        <v>#DIV/0!</v>
      </c>
      <c r="BR238" s="99" t="e">
        <f t="shared" si="267"/>
        <v>#DIV/0!</v>
      </c>
      <c r="BS238" s="40"/>
      <c r="BW238" s="280">
        <f t="shared" si="273"/>
        <v>0</v>
      </c>
      <c r="BX238" s="39">
        <f t="shared" si="257"/>
        <v>0</v>
      </c>
      <c r="BY238" s="51" t="e">
        <f t="shared" si="258"/>
        <v>#DIV/0!</v>
      </c>
    </row>
    <row r="239" spans="1:77" s="63" customFormat="1" ht="18" hidden="1" customHeight="1">
      <c r="A239" s="53"/>
      <c r="D239" s="323">
        <f t="shared" si="233"/>
        <v>0</v>
      </c>
      <c r="E239" s="352" t="e">
        <f t="shared" si="236"/>
        <v>#DIV/0!</v>
      </c>
      <c r="G239" s="10">
        <f t="shared" si="234"/>
        <v>0</v>
      </c>
      <c r="H239" s="14" t="e">
        <f t="shared" si="237"/>
        <v>#DIV/0!</v>
      </c>
      <c r="J239" s="10">
        <f t="shared" si="235"/>
        <v>0</v>
      </c>
      <c r="K239" s="14" t="e">
        <f t="shared" si="238"/>
        <v>#DIV/0!</v>
      </c>
      <c r="M239" s="52"/>
      <c r="N239" s="60"/>
      <c r="O239" s="81"/>
      <c r="P239" s="69"/>
      <c r="Q239" s="60"/>
      <c r="R239" s="52"/>
      <c r="S239" s="52"/>
      <c r="T239" s="60"/>
      <c r="U239" s="52"/>
      <c r="V239" s="69"/>
      <c r="W239" s="60"/>
      <c r="X239" s="166"/>
      <c r="Y239" s="157"/>
      <c r="Z239" s="95"/>
      <c r="AA239" s="202">
        <v>108680</v>
      </c>
      <c r="AB239" s="172">
        <f t="shared" si="277"/>
        <v>2400</v>
      </c>
      <c r="AC239" s="101"/>
      <c r="AF239" s="69"/>
      <c r="AG239" s="69"/>
      <c r="AX239" s="69"/>
      <c r="AY239" s="52">
        <f t="shared" si="269"/>
        <v>0</v>
      </c>
      <c r="AZ239" s="58" t="e">
        <f t="shared" si="270"/>
        <v>#DIV/0!</v>
      </c>
      <c r="BA239" s="58"/>
      <c r="BB239" s="58"/>
      <c r="BC239" s="58"/>
      <c r="BD239" s="58"/>
      <c r="BE239" s="69"/>
      <c r="BF239" s="52">
        <f t="shared" si="278"/>
        <v>0</v>
      </c>
      <c r="BG239" s="58" t="e">
        <f t="shared" si="279"/>
        <v>#DIV/0!</v>
      </c>
      <c r="BH239" s="65"/>
      <c r="BI239" s="65"/>
      <c r="BJ239" s="65"/>
      <c r="BK239" s="65"/>
      <c r="BL239" s="39">
        <f t="shared" si="271"/>
        <v>0</v>
      </c>
      <c r="BM239" s="39">
        <f t="shared" si="280"/>
        <v>0</v>
      </c>
      <c r="BN239" s="39"/>
      <c r="BO239" s="534"/>
      <c r="BP239" s="39">
        <f t="shared" si="266"/>
        <v>0</v>
      </c>
      <c r="BQ239" s="51" t="e">
        <f t="shared" si="281"/>
        <v>#DIV/0!</v>
      </c>
      <c r="BR239" s="99" t="e">
        <f t="shared" si="267"/>
        <v>#DIV/0!</v>
      </c>
      <c r="BS239" s="40"/>
      <c r="BW239" s="280">
        <f t="shared" si="273"/>
        <v>0</v>
      </c>
      <c r="BX239" s="39">
        <f t="shared" si="257"/>
        <v>0</v>
      </c>
      <c r="BY239" s="51" t="e">
        <f t="shared" si="258"/>
        <v>#DIV/0!</v>
      </c>
    </row>
    <row r="240" spans="1:77" s="63" customFormat="1" ht="18" hidden="1" customHeight="1">
      <c r="A240" s="53"/>
      <c r="D240" s="323">
        <f t="shared" si="233"/>
        <v>0</v>
      </c>
      <c r="E240" s="352" t="e">
        <f t="shared" si="236"/>
        <v>#DIV/0!</v>
      </c>
      <c r="G240" s="10">
        <f t="shared" si="234"/>
        <v>0</v>
      </c>
      <c r="H240" s="14" t="e">
        <f t="shared" si="237"/>
        <v>#DIV/0!</v>
      </c>
      <c r="J240" s="10">
        <f t="shared" si="235"/>
        <v>0</v>
      </c>
      <c r="K240" s="14" t="e">
        <f t="shared" si="238"/>
        <v>#DIV/0!</v>
      </c>
      <c r="M240" s="52"/>
      <c r="N240" s="60"/>
      <c r="O240" s="81"/>
      <c r="P240" s="69"/>
      <c r="Q240" s="60"/>
      <c r="R240" s="52"/>
      <c r="S240" s="52"/>
      <c r="T240" s="60"/>
      <c r="U240" s="52"/>
      <c r="V240" s="69"/>
      <c r="W240" s="60"/>
      <c r="X240" s="166"/>
      <c r="Y240" s="157"/>
      <c r="Z240" s="95"/>
      <c r="AA240" s="202">
        <v>9770</v>
      </c>
      <c r="AB240" s="172">
        <f t="shared" si="277"/>
        <v>17</v>
      </c>
      <c r="AC240" s="101"/>
      <c r="AF240" s="69"/>
      <c r="AG240" s="69"/>
      <c r="AX240" s="69"/>
      <c r="AY240" s="52">
        <f t="shared" si="269"/>
        <v>0</v>
      </c>
      <c r="AZ240" s="58" t="e">
        <f t="shared" si="270"/>
        <v>#DIV/0!</v>
      </c>
      <c r="BA240" s="58"/>
      <c r="BB240" s="58"/>
      <c r="BC240" s="58"/>
      <c r="BD240" s="58"/>
      <c r="BE240" s="69"/>
      <c r="BF240" s="52">
        <f t="shared" si="278"/>
        <v>0</v>
      </c>
      <c r="BG240" s="58" t="e">
        <f t="shared" si="279"/>
        <v>#DIV/0!</v>
      </c>
      <c r="BH240" s="65"/>
      <c r="BI240" s="65"/>
      <c r="BJ240" s="65"/>
      <c r="BK240" s="65"/>
      <c r="BL240" s="39">
        <f t="shared" si="271"/>
        <v>0</v>
      </c>
      <c r="BM240" s="39">
        <f t="shared" si="280"/>
        <v>0</v>
      </c>
      <c r="BN240" s="39"/>
      <c r="BO240" s="534"/>
      <c r="BP240" s="39">
        <f t="shared" si="266"/>
        <v>0</v>
      </c>
      <c r="BQ240" s="51" t="e">
        <f t="shared" si="281"/>
        <v>#DIV/0!</v>
      </c>
      <c r="BR240" s="99" t="e">
        <f t="shared" si="267"/>
        <v>#DIV/0!</v>
      </c>
      <c r="BS240" s="40"/>
      <c r="BW240" s="280">
        <f t="shared" si="273"/>
        <v>0</v>
      </c>
      <c r="BX240" s="39">
        <f t="shared" si="257"/>
        <v>0</v>
      </c>
      <c r="BY240" s="51" t="e">
        <f t="shared" si="258"/>
        <v>#DIV/0!</v>
      </c>
    </row>
    <row r="241" spans="1:77" ht="18" hidden="1" customHeight="1" thickBot="1">
      <c r="D241" s="323">
        <f t="shared" si="233"/>
        <v>0</v>
      </c>
      <c r="E241" s="352" t="e">
        <f t="shared" si="236"/>
        <v>#DIV/0!</v>
      </c>
      <c r="G241" s="10">
        <f t="shared" si="234"/>
        <v>0</v>
      </c>
      <c r="H241" s="14" t="e">
        <f t="shared" si="237"/>
        <v>#DIV/0!</v>
      </c>
      <c r="J241" s="10">
        <f t="shared" si="235"/>
        <v>0</v>
      </c>
      <c r="K241" s="14" t="e">
        <f t="shared" si="238"/>
        <v>#DIV/0!</v>
      </c>
      <c r="AA241" s="136">
        <f>SUM(AA228:AA240)</f>
        <v>1229323</v>
      </c>
      <c r="AB241" s="172">
        <f t="shared" si="277"/>
        <v>180000</v>
      </c>
      <c r="AY241" s="52">
        <f t="shared" si="269"/>
        <v>0</v>
      </c>
      <c r="AZ241" s="58" t="e">
        <f t="shared" si="270"/>
        <v>#DIV/0!</v>
      </c>
      <c r="BF241" s="52">
        <f t="shared" si="278"/>
        <v>0</v>
      </c>
      <c r="BG241" s="58" t="e">
        <f t="shared" si="279"/>
        <v>#DIV/0!</v>
      </c>
      <c r="BH241" s="65"/>
      <c r="BI241" s="65"/>
      <c r="BJ241" s="65"/>
      <c r="BK241" s="65"/>
      <c r="BL241" s="39">
        <f t="shared" si="271"/>
        <v>0</v>
      </c>
      <c r="BM241" s="39">
        <f t="shared" si="280"/>
        <v>0</v>
      </c>
      <c r="BN241" s="39"/>
      <c r="BO241" s="534"/>
      <c r="BP241" s="39">
        <f t="shared" si="266"/>
        <v>0</v>
      </c>
      <c r="BQ241" s="51" t="e">
        <f t="shared" si="281"/>
        <v>#DIV/0!</v>
      </c>
      <c r="BR241" s="99" t="e">
        <f t="shared" si="267"/>
        <v>#DIV/0!</v>
      </c>
      <c r="BW241" s="280">
        <f t="shared" si="273"/>
        <v>0</v>
      </c>
      <c r="BX241" s="39">
        <f t="shared" si="257"/>
        <v>0</v>
      </c>
      <c r="BY241" s="51" t="e">
        <f t="shared" si="258"/>
        <v>#DIV/0!</v>
      </c>
    </row>
    <row r="242" spans="1:77" s="116" customFormat="1" ht="18" customHeight="1">
      <c r="A242" s="116" t="s">
        <v>120</v>
      </c>
      <c r="B242" s="142">
        <f>+B222+B188+B166+B133+B109+B74+B41</f>
        <v>3216212</v>
      </c>
      <c r="C242" s="142">
        <f>+C222+C188+C166+C133+C109+C74+C41</f>
        <v>3526215</v>
      </c>
      <c r="D242" s="364">
        <f t="shared" si="233"/>
        <v>310003</v>
      </c>
      <c r="E242" s="365">
        <f t="shared" si="236"/>
        <v>9.638761375182979E-2</v>
      </c>
      <c r="F242" s="142">
        <f>+F222+F188+F166+F133+F109+F74+F41</f>
        <v>3570540</v>
      </c>
      <c r="G242" s="363">
        <f t="shared" si="234"/>
        <v>44325</v>
      </c>
      <c r="H242" s="366">
        <f t="shared" si="237"/>
        <v>1.2570135400138675E-2</v>
      </c>
      <c r="I242" s="363">
        <f>+I222+I188+I166+I133+I109+I74+I41</f>
        <v>3608249</v>
      </c>
      <c r="J242" s="363">
        <f t="shared" si="235"/>
        <v>37709</v>
      </c>
      <c r="K242" s="366">
        <f t="shared" si="238"/>
        <v>1.0561147613526245E-2</v>
      </c>
      <c r="L242" s="142">
        <f>+L222+L188+L166+L133+L109+L74+L41</f>
        <v>3986249</v>
      </c>
      <c r="M242" s="142">
        <f>+M222+M188+M166+M133+M109+M74+M41</f>
        <v>119050</v>
      </c>
      <c r="N242" s="143" t="s">
        <v>78</v>
      </c>
      <c r="O242" s="142">
        <f>+O222+O188+O166+O133+O109+O74+O41</f>
        <v>4449363</v>
      </c>
      <c r="P242" s="142">
        <f>O242-L242</f>
        <v>463114</v>
      </c>
      <c r="Q242" s="133">
        <f>P242/L242</f>
        <v>0.11617789054321494</v>
      </c>
      <c r="R242" s="142">
        <f>+R222+R188+R166+R133+R109+R74+R41</f>
        <v>5194334</v>
      </c>
      <c r="S242" s="132">
        <f>R242-O242</f>
        <v>744971</v>
      </c>
      <c r="T242" s="133">
        <f>S242/O242</f>
        <v>0.16743318088454459</v>
      </c>
      <c r="U242" s="142">
        <f>+U222+U188+U166+U133+U109+U74+U41</f>
        <v>5490146</v>
      </c>
      <c r="V242" s="142">
        <f>U242-R242</f>
        <v>295812</v>
      </c>
      <c r="W242" s="144">
        <f>V242/R242</f>
        <v>5.6948975556827881E-2</v>
      </c>
      <c r="X242" s="183">
        <f>SUM(X222,X188,X166,X133,X109,X74,X41)</f>
        <v>6283891</v>
      </c>
      <c r="Y242" s="169">
        <f>X242-U242</f>
        <v>793745</v>
      </c>
      <c r="Z242" s="134">
        <f>Y242/U242</f>
        <v>0.1445763008852588</v>
      </c>
      <c r="AA242" s="203">
        <f>SUM(AA188,AA222,AA166,AA133,AA109,AA74,AA41)</f>
        <v>6256680</v>
      </c>
      <c r="AB242" s="159">
        <f>AA242-X242</f>
        <v>-27211</v>
      </c>
      <c r="AC242" s="135">
        <f>AB242/X242</f>
        <v>-4.3302788033719869E-3</v>
      </c>
      <c r="AD242" s="142">
        <f>+AD222+AD188+AD166+AD133+AD109+AD74+AD41</f>
        <v>5186888</v>
      </c>
      <c r="AE242" s="142">
        <f>+AE222+AE188+AE166+AE133+AE109+AE74+AE41</f>
        <v>813170</v>
      </c>
      <c r="AF242" s="142">
        <f>+AF222+AF188+AF166+AF133+AF109+AF74+AF41</f>
        <v>5823850</v>
      </c>
      <c r="AG242" s="132">
        <f t="shared" ref="AG242" si="282">AF242-AA242</f>
        <v>-432830</v>
      </c>
      <c r="AH242" s="133">
        <f t="shared" ref="AH242" si="283">AG242/AA242</f>
        <v>-6.917886163268698E-2</v>
      </c>
      <c r="AI242" s="142">
        <f t="shared" ref="AI242:AO242" si="284">+AI222+AI188+AI166+AI133+AI109+AI74+AI41</f>
        <v>3449739</v>
      </c>
      <c r="AJ242" s="142">
        <f t="shared" si="284"/>
        <v>5158606</v>
      </c>
      <c r="AK242" s="142">
        <f t="shared" si="284"/>
        <v>5590843</v>
      </c>
      <c r="AL242" s="142">
        <f t="shared" si="284"/>
        <v>101819</v>
      </c>
      <c r="AM242" s="142">
        <f t="shared" si="284"/>
        <v>5692662</v>
      </c>
      <c r="AN242" s="142">
        <f t="shared" si="284"/>
        <v>5268442</v>
      </c>
      <c r="AO242" s="142">
        <f t="shared" si="284"/>
        <v>6135094</v>
      </c>
      <c r="AP242" s="144">
        <f>+AN242/AD242-1</f>
        <v>1.5723107959917382E-2</v>
      </c>
      <c r="AQ242" s="144">
        <f>+AO242/AF242-1</f>
        <v>5.3442997329945063E-2</v>
      </c>
      <c r="AR242" s="142">
        <f>+AR222+AR188+AR166+AR133+AR109+AR74+AR41</f>
        <v>111299</v>
      </c>
      <c r="AS242" s="142">
        <f>+AS222+AS188+AS166+AS133+AS109+AS74+AS41</f>
        <v>6164783.4165400006</v>
      </c>
      <c r="AT242" s="142">
        <f>+AT222+AT188+AT166+AT133+AT109+AT74+AT41</f>
        <v>340933.41654000082</v>
      </c>
      <c r="AU242" s="393">
        <f>AT242/AF242</f>
        <v>5.8540899326047342E-2</v>
      </c>
      <c r="AV242" s="142">
        <f>+AV222+AV188+AV166+AV133+AV109+AV74+AV41</f>
        <v>328353.41654000035</v>
      </c>
      <c r="AW242" s="393">
        <f>+AV242/AF242</f>
        <v>5.6380816219511208E-2</v>
      </c>
      <c r="AX242" s="142">
        <f>+AX222+AX188+AX166+AX133+AX109+AX74+AX41</f>
        <v>6213682</v>
      </c>
      <c r="AY242" s="107">
        <f t="shared" si="269"/>
        <v>389832</v>
      </c>
      <c r="AZ242" s="125">
        <f t="shared" si="270"/>
        <v>6.6937163560187848E-2</v>
      </c>
      <c r="BA242" s="125"/>
      <c r="BB242" s="125"/>
      <c r="BC242" s="125"/>
      <c r="BD242" s="125"/>
      <c r="BE242" s="142">
        <f>+BE222+BE188+BE166+BE133+BE109+BE74+BE41</f>
        <v>6445514</v>
      </c>
      <c r="BF242" s="107">
        <f t="shared" si="278"/>
        <v>231832</v>
      </c>
      <c r="BG242" s="125">
        <f t="shared" si="279"/>
        <v>3.7309923488199108E-2</v>
      </c>
      <c r="BH242" s="110">
        <f>SUM(BH222,BH188,BH133,BH109,BH74,BH41,BH166)</f>
        <v>108124</v>
      </c>
      <c r="BI242" s="110"/>
      <c r="BJ242" s="110"/>
      <c r="BK242" s="110">
        <f>BK188+BK166+BK133+BK109+BK74+BK41</f>
        <v>3499</v>
      </c>
      <c r="BL242" s="554">
        <f>BE242+BH242+BI242+BJ242+BK242</f>
        <v>6557137</v>
      </c>
      <c r="BM242" s="554">
        <f t="shared" si="280"/>
        <v>392353.58345999941</v>
      </c>
      <c r="BN242" s="554">
        <f>BN222+BN188+BN166+BN133+BN109+BN74+BN41</f>
        <v>6748667</v>
      </c>
      <c r="BO242" s="142">
        <f>BO222+BO188+BO166+BO133+BO109+BO74+BO41</f>
        <v>6761446</v>
      </c>
      <c r="BP242" s="39">
        <f t="shared" si="266"/>
        <v>315932</v>
      </c>
      <c r="BQ242" s="108">
        <f t="shared" si="281"/>
        <v>6.364434189323212E-2</v>
      </c>
      <c r="BR242" s="99">
        <f t="shared" si="267"/>
        <v>4.9015796102529603E-2</v>
      </c>
      <c r="BS242" s="649"/>
      <c r="BW242" s="637">
        <f>BW222+BW188+BW166+BW133+BW109+BW74+BW41</f>
        <v>7008660.0350000001</v>
      </c>
      <c r="BX242" s="638">
        <f t="shared" si="257"/>
        <v>451523.03500000015</v>
      </c>
      <c r="BY242" s="639">
        <f t="shared" si="258"/>
        <v>6.8859783622028964E-2</v>
      </c>
    </row>
    <row r="243" spans="1:77" ht="18" customHeight="1">
      <c r="A243" s="220"/>
      <c r="AA243" s="62"/>
      <c r="AB243" s="172"/>
      <c r="AM243" s="52"/>
      <c r="AN243" s="52"/>
      <c r="AO243" s="58" t="e">
        <f>+AO242/AF243-1</f>
        <v>#DIV/0!</v>
      </c>
      <c r="BN243" s="39"/>
      <c r="BP243" s="39">
        <f t="shared" ref="BP243" si="285">BN243-BE243</f>
        <v>0</v>
      </c>
      <c r="BR243" s="99" t="e">
        <f t="shared" si="267"/>
        <v>#DIV/0!</v>
      </c>
    </row>
    <row r="244" spans="1:77" ht="18" customHeight="1">
      <c r="AA244" s="218"/>
      <c r="AB244" s="172"/>
      <c r="AN244" s="52"/>
      <c r="AO244" s="52"/>
      <c r="BN244" s="39"/>
    </row>
    <row r="245" spans="1:77" ht="18" customHeight="1">
      <c r="AA245" s="218"/>
      <c r="AB245" s="172"/>
      <c r="BN245" s="39"/>
      <c r="BO245" s="39"/>
      <c r="BW245" s="39">
        <f>7050420-6762028</f>
        <v>288392</v>
      </c>
    </row>
    <row r="246" spans="1:77" ht="18" customHeight="1">
      <c r="AB246" s="172"/>
      <c r="BN246" s="39"/>
      <c r="BO246" s="39"/>
    </row>
    <row r="247" spans="1:77" ht="18" customHeight="1">
      <c r="AB247" s="172"/>
      <c r="BN247" s="39"/>
      <c r="BO247" s="39"/>
    </row>
    <row r="248" spans="1:77" ht="18" customHeight="1">
      <c r="AB248" s="172"/>
      <c r="BN248" s="39"/>
      <c r="BO248" s="39"/>
    </row>
    <row r="249" spans="1:77" ht="18" customHeight="1">
      <c r="AB249" s="172"/>
      <c r="AQ249" s="220"/>
      <c r="BN249" s="39"/>
      <c r="BO249" s="39"/>
    </row>
    <row r="250" spans="1:77" ht="18" customHeight="1">
      <c r="AB250" s="172"/>
      <c r="AQ250" s="220"/>
      <c r="BN250" s="39"/>
      <c r="BO250" s="39"/>
    </row>
    <row r="251" spans="1:77" ht="18" customHeight="1">
      <c r="AB251" s="172"/>
      <c r="AQ251" s="220"/>
      <c r="BN251" s="39"/>
      <c r="BO251" s="39"/>
    </row>
    <row r="252" spans="1:77" ht="18" customHeight="1">
      <c r="AB252" s="172"/>
      <c r="AQ252" s="220"/>
      <c r="BN252" s="39"/>
      <c r="BO252" s="39"/>
    </row>
    <row r="253" spans="1:77" ht="18" customHeight="1">
      <c r="AQ253" s="220"/>
      <c r="BN253" s="39"/>
      <c r="BO253" s="39"/>
    </row>
    <row r="254" spans="1:77" ht="18" customHeight="1">
      <c r="BN254" s="39"/>
      <c r="BO254" s="39"/>
    </row>
    <row r="255" spans="1:77" ht="18" customHeight="1">
      <c r="BN255" s="39"/>
      <c r="BO255" s="39"/>
    </row>
    <row r="256" spans="1:77" ht="18" customHeight="1">
      <c r="BN256" s="39"/>
      <c r="BO256" s="39"/>
    </row>
    <row r="257" spans="36:67" ht="18" customHeight="1">
      <c r="BN257" s="39"/>
      <c r="BO257" s="39"/>
    </row>
    <row r="258" spans="36:67" ht="18" customHeight="1">
      <c r="AJ258" s="50">
        <f>9.55*1.01416</f>
        <v>9.6852280000000004</v>
      </c>
      <c r="AK258" s="50">
        <v>9.4600000000000009</v>
      </c>
      <c r="AL258" s="50">
        <f>+AK258-AJ258</f>
        <v>-0.22522799999999954</v>
      </c>
      <c r="AM258" s="50">
        <f>+AK258/AJ258-1</f>
        <v>-2.3254795860252253E-2</v>
      </c>
      <c r="BN258" s="39"/>
      <c r="BO258" s="39"/>
    </row>
  </sheetData>
  <customSheetViews>
    <customSheetView guid="{7A9890A5-7CC2-466F-AA52-39E8D428DC1C}" scale="85" hiddenRows="1" hiddenColumns="1" topLeftCell="A4">
      <pane xSplit="1" topLeftCell="B1" activePane="topRight" state="frozen"/>
      <selection pane="topRight" activeCell="A4" sqref="A4"/>
      <pageMargins left="0.75" right="0.75" top="1" bottom="1" header="0.5" footer="0.5"/>
      <pageSetup orientation="portrait" r:id="rId1"/>
      <headerFooter alignWithMargins="0"/>
    </customSheetView>
    <customSheetView guid="{567C3053-2D8E-4705-8DC7-18896C5303CA}" scale="85" showPageBreaks="1" hiddenRows="1" hiddenColumns="1" topLeftCell="A146">
      <pane xSplit="1" topLeftCell="BM1" activePane="topRight" state="frozen"/>
      <selection pane="topRight" activeCell="BP151" sqref="BP151"/>
      <pageMargins left="0.75" right="0.75" top="1" bottom="1" header="0.5" footer="0.5"/>
      <pageSetup orientation="portrait" r:id="rId2"/>
      <headerFooter alignWithMargins="0"/>
    </customSheetView>
    <customSheetView guid="{AEFEB150-9213-45F5-A178-7AC71E46DB11}" scale="85" hiddenRows="1" topLeftCell="A4">
      <pane xSplit="1" ySplit="2" topLeftCell="BK263" activePane="bottomRight" state="frozen"/>
      <selection pane="bottomRight" activeCell="BN180" sqref="BN180"/>
      <pageMargins left="0.75" right="0.75" top="1" bottom="1" header="0.5" footer="0.5"/>
      <pageSetup orientation="portrait" r:id="rId3"/>
      <headerFooter alignWithMargins="0"/>
    </customSheetView>
    <customSheetView guid="{E81D05A4-5B21-42D3-A8D3-906ABCABC0F4}" scale="80" hiddenRows="1" hiddenColumns="1" topLeftCell="A4">
      <pane xSplit="1" ySplit="3" topLeftCell="BV91" activePane="bottomRight" state="frozen"/>
      <selection pane="bottomRight" activeCell="BV103" sqref="BV103"/>
      <pageMargins left="0.75" right="0.75" top="1" bottom="1" header="0.5" footer="0.5"/>
      <pageSetup orientation="portrait" r:id="rId4"/>
      <headerFooter alignWithMargins="0"/>
    </customSheetView>
    <customSheetView guid="{A2518DB3-3A80-4035-9307-EC50A7C923F2}" hiddenRows="1" hiddenColumns="1" topLeftCell="A4">
      <pane xSplit="1" ySplit="3" topLeftCell="BS148" activePane="bottomRight" state="frozen"/>
      <selection pane="bottomRight" activeCell="BS148" sqref="BS148"/>
      <pageMargins left="0.75" right="0.75" top="1" bottom="1" header="0.5" footer="0.5"/>
      <pageSetup orientation="portrait" r:id="rId5"/>
      <headerFooter alignWithMargins="0"/>
    </customSheetView>
    <customSheetView guid="{50528D02-548E-47E0-94D7-D1E79CD3569C}" hiddenRows="1" hiddenColumns="1" topLeftCell="A4">
      <pane xSplit="1" ySplit="3" topLeftCell="BM115" activePane="bottomRight" state="frozen"/>
      <selection pane="bottomRight" activeCell="BS130" sqref="BS130"/>
      <pageMargins left="0.75" right="0.75" top="1" bottom="1" header="0.5" footer="0.5"/>
      <pageSetup orientation="portrait" r:id="rId6"/>
      <headerFooter alignWithMargins="0"/>
    </customSheetView>
    <customSheetView guid="{E44F5FE1-54FC-4AB3-84F9-7D65ACF2DDE7}" scale="85" hiddenRows="1" hiddenColumns="1" topLeftCell="A4">
      <pane xSplit="1" ySplit="2" topLeftCell="AT47" activePane="bottomRight" state="frozen"/>
      <selection pane="bottomRight" activeCell="AX55" sqref="AX55"/>
      <pageMargins left="0.75" right="0.75" top="1" bottom="1" header="0.5" footer="0.5"/>
      <pageSetup orientation="portrait" r:id="rId7"/>
      <headerFooter alignWithMargins="0"/>
    </customSheetView>
    <customSheetView guid="{94DA13B6-7351-40F3-8CF7-A4211EC439DA}" scale="85" hiddenRows="1" topLeftCell="A3">
      <pane xSplit="1" ySplit="5" topLeftCell="AY138" activePane="bottomRight" state="frozen"/>
      <selection pane="bottomRight" activeCell="BC167" sqref="BC167"/>
      <pageMargins left="0.75" right="0.75" top="1" bottom="1" header="0.5" footer="0.5"/>
      <pageSetup orientation="portrait" r:id="rId8"/>
      <headerFooter alignWithMargins="0"/>
    </customSheetView>
    <customSheetView guid="{8F508F4D-4777-42BE-9707-8CB9355F7BDB}" scale="85" hiddenRows="1" topLeftCell="A4">
      <pane xSplit="1" ySplit="6" topLeftCell="AH46" activePane="bottomRight" state="frozen"/>
      <selection pane="bottomRight" activeCell="AS6" sqref="AS6"/>
      <pageMargins left="0.75" right="0.75" top="1" bottom="1" header="0.5" footer="0.5"/>
      <pageSetup orientation="portrait" r:id="rId9"/>
      <headerFooter alignWithMargins="0"/>
    </customSheetView>
    <customSheetView guid="{F784130D-F647-4ABA-8943-C79CA5B0FDC4}" scale="85" hiddenRows="1" topLeftCell="A4">
      <pane xSplit="1" ySplit="5" topLeftCell="BD43" activePane="bottomRight" state="frozen"/>
      <selection pane="bottomRight" activeCell="BG54" sqref="BG54"/>
      <pageMargins left="0.75" right="0.75" top="1" bottom="1" header="0.5" footer="0.5"/>
      <pageSetup orientation="portrait" r:id="rId10"/>
      <headerFooter alignWithMargins="0"/>
    </customSheetView>
    <customSheetView guid="{1E5198E1-BA46-4CE0-8628-4F695B0D7A3B}" scale="85" hiddenRows="1" topLeftCell="A4">
      <pane xSplit="1" ySplit="2" topLeftCell="AX6" activePane="bottomRight" state="frozen"/>
      <selection pane="bottomRight" activeCell="BB32" sqref="BB32"/>
      <pageMargins left="0.75" right="0.75" top="1" bottom="1" header="0.5" footer="0.5"/>
      <pageSetup orientation="portrait" r:id="rId11"/>
      <headerFooter alignWithMargins="0"/>
    </customSheetView>
    <customSheetView guid="{455630F5-40FC-47DB-8AD4-712C20B8FB91}" hiddenRows="1" hiddenColumns="1" topLeftCell="A4">
      <pane xSplit="1" ySplit="3" topLeftCell="BR28" activePane="bottomRight" state="frozen"/>
      <selection pane="bottomRight" activeCell="BT41" sqref="BT41"/>
      <pageMargins left="0.75" right="0.75" top="1" bottom="1" header="0.5" footer="0.5"/>
      <pageSetup orientation="portrait" r:id="rId12"/>
      <headerFooter alignWithMargins="0"/>
    </customSheetView>
    <customSheetView guid="{78CA186D-B240-44D5-8A24-D241DE0B0FD9}" scale="80" hiddenRows="1" hiddenColumns="1" topLeftCell="A4">
      <pane xSplit="1" ySplit="3" topLeftCell="BE172" activePane="bottomRight" state="frozen"/>
      <selection pane="bottomRight" activeCell="BO58" sqref="BO58"/>
      <pageMargins left="0.75" right="0.75" top="1" bottom="1" header="0.5" footer="0.5"/>
      <pageSetup orientation="portrait" r:id="rId13"/>
      <headerFooter alignWithMargins="0"/>
    </customSheetView>
    <customSheetView guid="{9D4F0482-B164-4671-805A-E0D2D4DD4720}" scale="85" hiddenRows="1" hiddenColumns="1" topLeftCell="A4">
      <pane xSplit="1" ySplit="2" topLeftCell="AD49" activePane="bottomRight" state="frozen"/>
      <selection pane="bottomRight" activeCell="A56" sqref="A56:XFD56"/>
      <pageMargins left="0.75" right="0.75" top="1" bottom="1" header="0.5" footer="0.5"/>
      <pageSetup orientation="portrait" r:id="rId14"/>
      <headerFooter alignWithMargins="0"/>
    </customSheetView>
  </customSheetViews>
  <mergeCells count="6">
    <mergeCell ref="AB4:AC4"/>
    <mergeCell ref="M4:N4"/>
    <mergeCell ref="P4:Q4"/>
    <mergeCell ref="V4:W4"/>
    <mergeCell ref="S4:T4"/>
    <mergeCell ref="Y4:Z4"/>
  </mergeCells>
  <phoneticPr fontId="0" type="noConversion"/>
  <pageMargins left="0.75" right="0.75" top="1" bottom="1" header="0.5" footer="0.5"/>
  <pageSetup orientation="portrait" r:id="rId15"/>
  <headerFooter alignWithMargins="0"/>
  <legacyDrawing r:id="rId16"/>
</worksheet>
</file>

<file path=xl/worksheets/sheet5.xml><?xml version="1.0" encoding="utf-8"?>
<worksheet xmlns="http://schemas.openxmlformats.org/spreadsheetml/2006/main" xmlns:r="http://schemas.openxmlformats.org/officeDocument/2006/relationships">
  <dimension ref="A1:IQ254"/>
  <sheetViews>
    <sheetView topLeftCell="A218" zoomScale="85" zoomScaleNormal="80" workbookViewId="0">
      <pane xSplit="1" topLeftCell="BW1" activePane="topRight" state="frozen"/>
      <selection activeCell="A218" sqref="A218"/>
      <selection pane="topRight" activeCell="BY246" sqref="BY246"/>
    </sheetView>
  </sheetViews>
  <sheetFormatPr defaultColWidth="8.7265625" defaultRowHeight="18" customHeight="1"/>
  <cols>
    <col min="1" max="1" width="44.453125" style="50" customWidth="1"/>
    <col min="2" max="4" width="11.453125" style="50" customWidth="1"/>
    <col min="5" max="5" width="11.453125" style="51" customWidth="1"/>
    <col min="6" max="6" width="11.81640625" style="50" customWidth="1"/>
    <col min="7" max="7" width="11.453125" style="50" customWidth="1"/>
    <col min="8" max="8" width="11.453125" style="51" customWidth="1"/>
    <col min="9" max="10" width="11.453125" style="50" customWidth="1"/>
    <col min="11" max="11" width="11.453125" style="51" customWidth="1"/>
    <col min="12" max="13" width="11.453125" style="50" customWidth="1"/>
    <col min="14" max="14" width="11.453125" style="51" customWidth="1"/>
    <col min="15" max="23" width="11.453125" style="50" customWidth="1"/>
    <col min="24" max="24" width="15" style="50" customWidth="1"/>
    <col min="25" max="28" width="11.453125" style="50" customWidth="1"/>
    <col min="29" max="29" width="11.453125" style="65" customWidth="1"/>
    <col min="30" max="30" width="11.453125" style="50" customWidth="1"/>
    <col min="31" max="31" width="11.453125" style="166" customWidth="1"/>
    <col min="32" max="32" width="11.453125" style="157" customWidth="1"/>
    <col min="33" max="33" width="12.1796875" style="157" customWidth="1"/>
    <col min="34" max="34" width="11.453125" style="157" customWidth="1"/>
    <col min="35" max="35" width="11.453125" style="202" customWidth="1"/>
    <col min="36" max="39" width="11.453125" style="50" hidden="1" customWidth="1"/>
    <col min="40" max="40" width="11.453125" style="52" customWidth="1"/>
    <col min="41" max="41" width="11.453125" style="100" customWidth="1"/>
    <col min="42" max="45" width="11.453125" style="52" hidden="1" customWidth="1"/>
    <col min="46" max="46" width="11.453125" style="52" customWidth="1"/>
    <col min="47" max="47" width="11.453125" style="26" customWidth="1"/>
    <col min="48" max="48" width="11.453125" style="99" customWidth="1"/>
    <col min="49" max="49" width="11.453125" style="62" customWidth="1"/>
    <col min="50" max="50" width="15.1796875" style="50" customWidth="1"/>
    <col min="51" max="55" width="11.453125" style="50" customWidth="1"/>
    <col min="56" max="57" width="11.453125" style="280" customWidth="1"/>
    <col min="58" max="62" width="11.453125" style="50" customWidth="1"/>
    <col min="63" max="64" width="11.453125" style="314" customWidth="1"/>
    <col min="65" max="65" width="11.453125" style="52" customWidth="1"/>
    <col min="66" max="66" width="11.453125" style="314" customWidth="1"/>
    <col min="67" max="69" width="11.453125" style="50" customWidth="1"/>
    <col min="70" max="72" width="17.54296875" style="50" customWidth="1"/>
    <col min="73" max="74" width="17.54296875" style="52" customWidth="1"/>
    <col min="75" max="75" width="17.54296875" style="50" customWidth="1"/>
    <col min="76" max="76" width="17.54296875" style="50" hidden="1" customWidth="1"/>
    <col min="77" max="79" width="17.54296875" style="50" customWidth="1"/>
    <col min="81" max="81" width="28.453125" style="50" customWidth="1"/>
    <col min="82" max="251" width="47" style="50" bestFit="1" customWidth="1"/>
    <col min="252" max="16384" width="8.7265625" style="50"/>
  </cols>
  <sheetData>
    <row r="1" spans="1:81" ht="12.75" hidden="1" customHeight="1">
      <c r="A1" s="50" t="s">
        <v>114</v>
      </c>
      <c r="AP1" s="52" t="s">
        <v>139</v>
      </c>
    </row>
    <row r="2" spans="1:81" ht="24" hidden="1" customHeight="1">
      <c r="A2" s="53" t="s">
        <v>153</v>
      </c>
      <c r="B2" s="53"/>
      <c r="C2" s="53"/>
      <c r="D2" s="53"/>
      <c r="E2" s="377"/>
      <c r="F2" s="53"/>
      <c r="G2" s="53"/>
      <c r="H2" s="377"/>
      <c r="I2" s="53"/>
      <c r="J2" s="53"/>
      <c r="K2" s="377"/>
      <c r="R2" s="52"/>
    </row>
    <row r="3" spans="1:81" ht="13" hidden="1" thickBot="1">
      <c r="L3" s="54"/>
      <c r="M3" s="54"/>
      <c r="N3" s="55"/>
      <c r="O3" s="54"/>
      <c r="P3" s="54"/>
      <c r="Q3" s="54"/>
      <c r="R3" s="54"/>
      <c r="U3" s="54"/>
    </row>
    <row r="4" spans="1:81" ht="18" customHeight="1" thickBot="1">
      <c r="A4" s="441"/>
      <c r="B4" s="442" t="s">
        <v>365</v>
      </c>
      <c r="C4" s="444" t="s">
        <v>368</v>
      </c>
      <c r="D4" s="445" t="s">
        <v>375</v>
      </c>
      <c r="E4" s="446"/>
      <c r="F4" s="442" t="s">
        <v>367</v>
      </c>
      <c r="G4" s="450" t="s">
        <v>373</v>
      </c>
      <c r="H4" s="451"/>
      <c r="I4" s="444" t="s">
        <v>366</v>
      </c>
      <c r="J4" s="445" t="s">
        <v>374</v>
      </c>
      <c r="K4" s="446"/>
      <c r="L4" s="442" t="s">
        <v>47</v>
      </c>
      <c r="M4" s="706" t="s">
        <v>91</v>
      </c>
      <c r="N4" s="707"/>
      <c r="O4" s="444" t="s">
        <v>46</v>
      </c>
      <c r="P4" s="708" t="s">
        <v>92</v>
      </c>
      <c r="Q4" s="709"/>
      <c r="R4" s="457" t="s">
        <v>44</v>
      </c>
      <c r="S4" s="706" t="s">
        <v>96</v>
      </c>
      <c r="T4" s="707"/>
      <c r="U4" s="460" t="s">
        <v>95</v>
      </c>
      <c r="V4" s="708" t="s">
        <v>128</v>
      </c>
      <c r="W4" s="709"/>
      <c r="X4" s="475" t="s">
        <v>106</v>
      </c>
      <c r="Y4" s="706" t="s">
        <v>216</v>
      </c>
      <c r="Z4" s="707"/>
      <c r="AA4" s="712" t="s">
        <v>250</v>
      </c>
      <c r="AB4" s="472" t="s">
        <v>217</v>
      </c>
      <c r="AC4" s="476"/>
      <c r="AD4" s="733" t="s">
        <v>156</v>
      </c>
      <c r="AE4" s="733" t="s">
        <v>156</v>
      </c>
      <c r="AF4" s="482" t="s">
        <v>156</v>
      </c>
      <c r="AG4" s="467" t="s">
        <v>200</v>
      </c>
      <c r="AH4" s="477"/>
      <c r="AI4" s="727" t="s">
        <v>156</v>
      </c>
      <c r="AJ4" s="727" t="s">
        <v>156</v>
      </c>
      <c r="AK4" s="727" t="s">
        <v>225</v>
      </c>
      <c r="AL4" s="727" t="s">
        <v>225</v>
      </c>
      <c r="AM4" s="727" t="s">
        <v>225</v>
      </c>
      <c r="AN4" s="727" t="s">
        <v>225</v>
      </c>
      <c r="AO4" s="727" t="s">
        <v>225</v>
      </c>
      <c r="AP4" s="255" t="s">
        <v>225</v>
      </c>
      <c r="AQ4" s="255"/>
      <c r="AR4" s="50"/>
      <c r="AS4" s="50"/>
      <c r="AT4" s="50"/>
      <c r="AU4" s="50"/>
      <c r="AV4" s="50"/>
      <c r="AW4" s="50"/>
      <c r="AX4" s="220"/>
      <c r="AY4" s="220"/>
      <c r="AZ4" s="220"/>
      <c r="BA4" s="220"/>
      <c r="BB4" s="220"/>
      <c r="BC4" s="220"/>
      <c r="BD4" s="297"/>
      <c r="BE4" s="297"/>
      <c r="BK4" s="319" t="s">
        <v>225</v>
      </c>
      <c r="BL4" s="610" t="s">
        <v>225</v>
      </c>
      <c r="BM4" s="611" t="s">
        <v>404</v>
      </c>
      <c r="BN4" s="612"/>
      <c r="BO4" s="463" t="s">
        <v>225</v>
      </c>
      <c r="BP4" s="479" t="s">
        <v>394</v>
      </c>
      <c r="BQ4" s="473"/>
      <c r="BR4" s="470" t="s">
        <v>385</v>
      </c>
      <c r="BS4" s="467" t="s">
        <v>395</v>
      </c>
      <c r="BT4" s="468"/>
      <c r="BU4" s="606" t="s">
        <v>385</v>
      </c>
      <c r="BV4" s="607" t="s">
        <v>406</v>
      </c>
      <c r="BW4" s="644" t="s">
        <v>423</v>
      </c>
      <c r="BX4" s="621" t="s">
        <v>423</v>
      </c>
      <c r="BY4" s="644" t="s">
        <v>423</v>
      </c>
      <c r="BZ4" s="622" t="s">
        <v>434</v>
      </c>
      <c r="CA4" s="621"/>
    </row>
    <row r="5" spans="1:81" ht="50.25" customHeight="1" thickBot="1">
      <c r="A5" s="509" t="s">
        <v>43</v>
      </c>
      <c r="B5" s="443" t="s">
        <v>372</v>
      </c>
      <c r="C5" s="447" t="s">
        <v>372</v>
      </c>
      <c r="D5" s="448" t="s">
        <v>89</v>
      </c>
      <c r="E5" s="449" t="s">
        <v>90</v>
      </c>
      <c r="F5" s="443" t="s">
        <v>372</v>
      </c>
      <c r="G5" s="452" t="s">
        <v>89</v>
      </c>
      <c r="H5" s="453" t="s">
        <v>90</v>
      </c>
      <c r="I5" s="447" t="s">
        <v>76</v>
      </c>
      <c r="J5" s="448" t="s">
        <v>89</v>
      </c>
      <c r="K5" s="449" t="s">
        <v>90</v>
      </c>
      <c r="L5" s="454" t="s">
        <v>76</v>
      </c>
      <c r="M5" s="452" t="s">
        <v>89</v>
      </c>
      <c r="N5" s="453" t="s">
        <v>90</v>
      </c>
      <c r="O5" s="455" t="s">
        <v>76</v>
      </c>
      <c r="P5" s="448" t="s">
        <v>89</v>
      </c>
      <c r="Q5" s="456" t="s">
        <v>90</v>
      </c>
      <c r="R5" s="458" t="s">
        <v>76</v>
      </c>
      <c r="S5" s="459" t="s">
        <v>89</v>
      </c>
      <c r="T5" s="453" t="s">
        <v>90</v>
      </c>
      <c r="U5" s="461" t="s">
        <v>76</v>
      </c>
      <c r="V5" s="448" t="s">
        <v>89</v>
      </c>
      <c r="W5" s="449" t="s">
        <v>90</v>
      </c>
      <c r="X5" s="458" t="s">
        <v>76</v>
      </c>
      <c r="Y5" s="452" t="s">
        <v>89</v>
      </c>
      <c r="Z5" s="453" t="s">
        <v>90</v>
      </c>
      <c r="AA5" s="713"/>
      <c r="AB5" s="465" t="s">
        <v>89</v>
      </c>
      <c r="AC5" s="466" t="s">
        <v>90</v>
      </c>
      <c r="AD5" s="734" t="s">
        <v>222</v>
      </c>
      <c r="AE5" s="734" t="s">
        <v>223</v>
      </c>
      <c r="AF5" s="443" t="s">
        <v>76</v>
      </c>
      <c r="AG5" s="458" t="s">
        <v>89</v>
      </c>
      <c r="AH5" s="469" t="s">
        <v>90</v>
      </c>
      <c r="AI5" s="728" t="s">
        <v>228</v>
      </c>
      <c r="AJ5" s="728" t="s">
        <v>229</v>
      </c>
      <c r="AK5" s="728" t="s">
        <v>226</v>
      </c>
      <c r="AL5" s="728" t="s">
        <v>227</v>
      </c>
      <c r="AM5" s="728" t="s">
        <v>230</v>
      </c>
      <c r="AN5" s="730" t="s">
        <v>240</v>
      </c>
      <c r="AO5" s="735" t="s">
        <v>231</v>
      </c>
      <c r="AP5" s="250" t="s">
        <v>232</v>
      </c>
      <c r="AQ5" s="250" t="s">
        <v>239</v>
      </c>
      <c r="AR5" s="250" t="s">
        <v>233</v>
      </c>
      <c r="AS5" s="252" t="s">
        <v>234</v>
      </c>
      <c r="AT5" s="724" t="s">
        <v>235</v>
      </c>
      <c r="AU5" s="731" t="s">
        <v>236</v>
      </c>
      <c r="AV5" s="724" t="s">
        <v>237</v>
      </c>
      <c r="AW5" s="731" t="s">
        <v>238</v>
      </c>
      <c r="AX5" s="220"/>
      <c r="AY5" s="736" t="s">
        <v>345</v>
      </c>
      <c r="AZ5" s="736" t="s">
        <v>346</v>
      </c>
      <c r="BA5" s="736" t="s">
        <v>347</v>
      </c>
      <c r="BB5" s="737" t="s">
        <v>348</v>
      </c>
      <c r="BC5" s="737" t="s">
        <v>349</v>
      </c>
      <c r="BD5" s="738" t="s">
        <v>352</v>
      </c>
      <c r="BE5" s="738" t="s">
        <v>353</v>
      </c>
      <c r="BF5" s="737" t="s">
        <v>354</v>
      </c>
      <c r="BI5" s="736" t="s">
        <v>357</v>
      </c>
      <c r="BJ5" s="736" t="s">
        <v>364</v>
      </c>
      <c r="BK5" s="739" t="s">
        <v>376</v>
      </c>
      <c r="BL5" s="613" t="s">
        <v>76</v>
      </c>
      <c r="BM5" s="614" t="s">
        <v>89</v>
      </c>
      <c r="BN5" s="613" t="s">
        <v>405</v>
      </c>
      <c r="BO5" s="478" t="s">
        <v>392</v>
      </c>
      <c r="BP5" s="481" t="s">
        <v>89</v>
      </c>
      <c r="BQ5" s="480" t="s">
        <v>90</v>
      </c>
      <c r="BR5" s="471" t="s">
        <v>392</v>
      </c>
      <c r="BS5" s="458" t="s">
        <v>89</v>
      </c>
      <c r="BT5" s="469" t="s">
        <v>90</v>
      </c>
      <c r="BU5" s="608" t="s">
        <v>402</v>
      </c>
      <c r="BV5" s="609" t="s">
        <v>89</v>
      </c>
      <c r="BW5" s="645" t="s">
        <v>386</v>
      </c>
      <c r="BX5" s="621" t="s">
        <v>439</v>
      </c>
      <c r="BY5" s="644" t="s">
        <v>392</v>
      </c>
      <c r="BZ5" s="621" t="s">
        <v>433</v>
      </c>
      <c r="CA5" s="621" t="s">
        <v>90</v>
      </c>
    </row>
    <row r="6" spans="1:81" s="109" customFormat="1" ht="13">
      <c r="A6" s="104" t="s">
        <v>0</v>
      </c>
      <c r="B6" s="116"/>
      <c r="C6" s="116"/>
      <c r="D6" s="116"/>
      <c r="E6" s="305"/>
      <c r="F6" s="116"/>
      <c r="G6" s="116"/>
      <c r="H6" s="305"/>
      <c r="I6" s="116"/>
      <c r="J6" s="116"/>
      <c r="K6" s="305"/>
      <c r="L6" s="105"/>
      <c r="M6" s="105"/>
      <c r="N6" s="106"/>
      <c r="O6" s="105"/>
      <c r="P6" s="105"/>
      <c r="Q6" s="105"/>
      <c r="R6" s="107"/>
      <c r="S6" s="107"/>
      <c r="T6" s="108"/>
      <c r="U6" s="108"/>
      <c r="V6" s="108"/>
      <c r="W6" s="108"/>
      <c r="AC6" s="110"/>
      <c r="AE6" s="175"/>
      <c r="AF6" s="158"/>
      <c r="AG6" s="158"/>
      <c r="AH6" s="158"/>
      <c r="AI6" s="158"/>
      <c r="AJ6" s="112" t="s">
        <v>138</v>
      </c>
      <c r="AK6" s="112"/>
      <c r="AL6" s="112"/>
      <c r="AM6" s="112"/>
      <c r="AN6" s="159"/>
      <c r="AO6" s="113"/>
      <c r="AP6" s="159"/>
      <c r="AQ6" s="159"/>
      <c r="AR6" s="159"/>
      <c r="AS6" s="159"/>
      <c r="AT6" s="159"/>
      <c r="AU6" s="200"/>
      <c r="AV6" s="114"/>
      <c r="AW6" s="107"/>
      <c r="BD6" s="290"/>
      <c r="BE6" s="298"/>
      <c r="BF6" s="248" t="s">
        <v>138</v>
      </c>
      <c r="BG6" s="248" t="s">
        <v>355</v>
      </c>
      <c r="BH6" s="248" t="s">
        <v>356</v>
      </c>
      <c r="BK6" s="316"/>
      <c r="BL6" s="316"/>
      <c r="BM6" s="107"/>
      <c r="BN6" s="316"/>
      <c r="BO6" s="483"/>
      <c r="BU6" s="107"/>
      <c r="BV6" s="107"/>
      <c r="BW6" s="554"/>
      <c r="BY6" s="680"/>
    </row>
    <row r="7" spans="1:81" ht="18" customHeight="1">
      <c r="A7" s="53" t="s">
        <v>1</v>
      </c>
      <c r="B7" s="322">
        <f>'FY 2013 by Agency'!B7*Inflator!$E$2</f>
        <v>14268.07735247209</v>
      </c>
      <c r="C7" s="322">
        <f>'FY 2013 by Agency'!C7*Inflator!$E$3</f>
        <v>16111.614374034005</v>
      </c>
      <c r="D7" s="322">
        <f>C7-B7</f>
        <v>1843.537021561915</v>
      </c>
      <c r="E7" s="351">
        <f>(C7-B7)/B7</f>
        <v>0.12920710870988539</v>
      </c>
      <c r="F7" s="10">
        <f>'FY 2013 by Agency'!F7*Inflator!$E$4</f>
        <v>16200.970688998857</v>
      </c>
      <c r="G7" s="10">
        <f>F7-C7</f>
        <v>89.356314964852572</v>
      </c>
      <c r="H7" s="14">
        <f>(F7-C7)/C7</f>
        <v>5.5460807893256232E-3</v>
      </c>
      <c r="I7" s="10">
        <f>'FY 2013 by Agency'!I7*Inflator!$E$5</f>
        <v>14402.010412792863</v>
      </c>
      <c r="J7" s="10">
        <f>I7-F7</f>
        <v>-1798.9602762059949</v>
      </c>
      <c r="K7" s="14">
        <f>(I7-F7)/F7</f>
        <v>-0.1110402771994128</v>
      </c>
      <c r="L7" s="10">
        <f>'FY 2013 by Agency'!L7*Inflator!$E$6</f>
        <v>14598.677571792074</v>
      </c>
      <c r="M7" s="10">
        <f>L7-I7</f>
        <v>196.6671589992111</v>
      </c>
      <c r="N7" s="14">
        <f>(L7-I7)/I7</f>
        <v>1.3655535120604948E-2</v>
      </c>
      <c r="O7" s="10">
        <f>'FY 2013 by Agency'!O7*Inflator!$E$7</f>
        <v>14790.449841605066</v>
      </c>
      <c r="P7" s="52">
        <f>O7-L7</f>
        <v>191.77226981299282</v>
      </c>
      <c r="Q7" s="58">
        <f t="shared" ref="Q7:Q34" si="0">P7/L7</f>
        <v>1.3136276821644444E-2</v>
      </c>
      <c r="R7" s="52">
        <f>'FY 2013 by Agency'!R7*Inflator!$E$8</f>
        <v>15490.543109300746</v>
      </c>
      <c r="S7" s="52">
        <f t="shared" ref="S7:S41" si="1">R7-O7</f>
        <v>700.09326769567997</v>
      </c>
      <c r="T7" s="58">
        <f t="shared" ref="T7:T34" si="2">S7/O7</f>
        <v>4.733414299045454E-2</v>
      </c>
      <c r="U7" s="52">
        <f>'FY 2013 by Agency'!U7*Inflator!$E$9</f>
        <v>18775.752652519892</v>
      </c>
      <c r="V7" s="52">
        <f>U7-R7</f>
        <v>3285.2095432191454</v>
      </c>
      <c r="W7" s="58">
        <f>V7/R7</f>
        <v>0.21207839647963395</v>
      </c>
      <c r="X7" s="52">
        <f>'FY 2013 by Agency'!X7*Inflator!$E$10</f>
        <v>20312.46490949508</v>
      </c>
      <c r="Y7" s="39">
        <f>X7-U7</f>
        <v>1536.7122569751882</v>
      </c>
      <c r="Z7" s="58">
        <f>Y7/U7</f>
        <v>8.1845574204927871E-2</v>
      </c>
      <c r="AA7" s="52">
        <f>'FY 2013 by Agency'!AA7*Inflator!$E$11</f>
        <v>22078.881172347887</v>
      </c>
      <c r="AB7" s="39">
        <f t="shared" ref="AB7:AB34" si="3">AA7-X7</f>
        <v>1766.4162628528065</v>
      </c>
      <c r="AC7" s="58">
        <f t="shared" ref="AC7:AC34" si="4">AB7/X7</f>
        <v>8.6962181631983701E-2</v>
      </c>
      <c r="AD7" s="52" t="e">
        <f>'FY 2013 by Agency'!AD7*Inflator!#REF!</f>
        <v>#REF!</v>
      </c>
      <c r="AE7" s="52">
        <f>'FY 2013 by Agency'!AE7*Inflator!$B$8</f>
        <v>0</v>
      </c>
      <c r="AF7" s="52">
        <f>'FY 2013 by Agency'!AF7*Inflator!$E$12</f>
        <v>19979.218045112782</v>
      </c>
      <c r="AG7" s="52">
        <f>AF7-AA7</f>
        <v>-2099.6631272351042</v>
      </c>
      <c r="AH7" s="58">
        <f>AG7/AA7</f>
        <v>-9.5098257508843875E-2</v>
      </c>
      <c r="AI7" s="52">
        <f>'FY 2013 by Agency'!AI7*Inflator!$B$8</f>
        <v>0</v>
      </c>
      <c r="AJ7" s="52">
        <f>'FY 2013 by Agency'!AJ7*Inflator!$B$8</f>
        <v>0</v>
      </c>
      <c r="AK7" s="52">
        <f>'FY 2013 by Agency'!AK7</f>
        <v>20211</v>
      </c>
      <c r="AL7" s="52">
        <f>'FY 2013 by Agency'!AL7</f>
        <v>0</v>
      </c>
      <c r="AM7" s="52">
        <f>'FY 2013 by Agency'!AM7</f>
        <v>20211</v>
      </c>
      <c r="AN7" s="52">
        <f>'FY 2013 by Agency'!AN7</f>
        <v>19175</v>
      </c>
      <c r="AO7" s="52">
        <f>'FY 2013 by Agency'!AO7</f>
        <v>19175</v>
      </c>
      <c r="AP7" s="52">
        <f>'FY 2013 by Agency'!AP7</f>
        <v>0</v>
      </c>
      <c r="AQ7" s="52">
        <f>'FY 2013 by Agency'!AQ7</f>
        <v>0</v>
      </c>
      <c r="AR7" s="52">
        <f>'FY 2013 by Agency'!AR7</f>
        <v>0</v>
      </c>
      <c r="AS7" s="52">
        <f>'FY 2013 by Agency'!AS7</f>
        <v>18265.161779999999</v>
      </c>
      <c r="AT7" s="52" t="e">
        <f>AR7-AD7</f>
        <v>#REF!</v>
      </c>
      <c r="AU7" s="58" t="e">
        <f>AT7/AD7</f>
        <v>#REF!</v>
      </c>
      <c r="AV7" s="52">
        <f>AS7-AF7</f>
        <v>-1714.0562651127839</v>
      </c>
      <c r="AW7" s="58">
        <f>AV7/AF7</f>
        <v>-8.5791959487226677E-2</v>
      </c>
      <c r="AX7" s="279" t="s">
        <v>251</v>
      </c>
      <c r="AY7" s="280">
        <v>19434</v>
      </c>
      <c r="AZ7" s="280">
        <f>+AY7-AO7</f>
        <v>259</v>
      </c>
      <c r="BA7" s="280">
        <f>+AZ7+AV7</f>
        <v>-1455.0562651127839</v>
      </c>
      <c r="BB7" s="280">
        <f>+AZ7+AS7</f>
        <v>18524.161779999999</v>
      </c>
      <c r="BC7" s="58">
        <f>+BB7/AF7-1</f>
        <v>-7.2828489174465605E-2</v>
      </c>
      <c r="BD7" s="291">
        <v>0</v>
      </c>
      <c r="BE7" s="51">
        <f t="shared" ref="BE7:BE38" si="5">BD7/AY7</f>
        <v>0</v>
      </c>
      <c r="BF7" s="50">
        <v>185</v>
      </c>
      <c r="BI7" s="65">
        <v>19225</v>
      </c>
      <c r="BJ7" s="280">
        <f>BI7-AY7</f>
        <v>-209</v>
      </c>
      <c r="BK7" s="65">
        <f>BI7+AP7+AQ7</f>
        <v>19225</v>
      </c>
      <c r="BL7" s="560">
        <f>'FY 2013 by Agency'!AS7*Inflator!$E$13</f>
        <v>18939.584903399453</v>
      </c>
      <c r="BM7" s="52">
        <f>BL7-AF7</f>
        <v>-1039.6331417133297</v>
      </c>
      <c r="BN7" s="51">
        <f>BM7/AF7</f>
        <v>-5.2035727292522323E-2</v>
      </c>
      <c r="BO7" s="52">
        <f>'FY 2013 by Agency'!AX7*Inflator!$E$13</f>
        <v>19934.864205065613</v>
      </c>
      <c r="BP7" s="52">
        <f>BO7-AF7</f>
        <v>-44.353840047169797</v>
      </c>
      <c r="BQ7" s="51">
        <f>BP7/AF7</f>
        <v>-2.2199987981020818E-3</v>
      </c>
      <c r="BR7" s="52">
        <f>'FY 2013 by Agency'!BE7*Inflator!$E$14</f>
        <v>19304.373842938192</v>
      </c>
      <c r="BS7" s="52">
        <f>BR7-BO7</f>
        <v>-630.49036212742067</v>
      </c>
      <c r="BT7" s="51">
        <f>BS7/BO7</f>
        <v>-3.1627522296701065E-2</v>
      </c>
      <c r="BU7" s="10">
        <f>'FY 2013 by Agency'!BL7*Inflator!$E$14</f>
        <v>19304.373842938192</v>
      </c>
      <c r="BV7" s="10">
        <f>BU7-BL7</f>
        <v>364.78893953873921</v>
      </c>
      <c r="BW7" s="39">
        <v>20194</v>
      </c>
      <c r="BX7" s="39">
        <f>'FY 2013 by Agency'!BW7*Inflator!E15</f>
        <v>20204.102999999999</v>
      </c>
      <c r="BY7" s="681">
        <v>21007</v>
      </c>
      <c r="BZ7" s="39">
        <f>BY7-BR7</f>
        <v>1702.626157061808</v>
      </c>
      <c r="CA7" s="51">
        <f>BZ7/BR7</f>
        <v>8.8198983863164895E-2</v>
      </c>
      <c r="CC7" s="39"/>
    </row>
    <row r="8" spans="1:81" ht="18" customHeight="1">
      <c r="A8" s="53" t="s">
        <v>201</v>
      </c>
      <c r="B8" s="322">
        <f>'FY 2013 by Agency'!B8*Inflator!$E$2</f>
        <v>1421.2527910685806</v>
      </c>
      <c r="C8" s="322">
        <f>'FY 2013 by Agency'!C8*Inflator!$E$3</f>
        <v>1672.740340030912</v>
      </c>
      <c r="D8" s="322">
        <f t="shared" ref="D8:D69" si="6">C8-B8</f>
        <v>251.4875489623314</v>
      </c>
      <c r="E8" s="351">
        <f t="shared" ref="E8:E69" si="7">(C8-B8)/B8</f>
        <v>0.17694779601681446</v>
      </c>
      <c r="F8" s="10">
        <f>'FY 2013 by Agency'!F8*Inflator!$E$4</f>
        <v>1659.548534449943</v>
      </c>
      <c r="G8" s="10">
        <f t="shared" ref="G8:G69" si="8">F8-C8</f>
        <v>-13.191805580969003</v>
      </c>
      <c r="H8" s="14">
        <f t="shared" ref="H8:H69" si="9">(F8-C8)/C8</f>
        <v>-7.886343902440484E-3</v>
      </c>
      <c r="I8" s="10">
        <f>'FY 2013 by Agency'!I8*Inflator!$E$5</f>
        <v>1805.7798438081074</v>
      </c>
      <c r="J8" s="10">
        <f t="shared" ref="J8:J69" si="10">I8-F8</f>
        <v>146.23130935816448</v>
      </c>
      <c r="K8" s="14">
        <f t="shared" ref="K8:K69" si="11">(I8-F8)/F8</f>
        <v>8.8115114636664008E-2</v>
      </c>
      <c r="L8" s="10">
        <f>'FY 2013 by Agency'!L8*Inflator!$E$6</f>
        <v>1920.7161032351869</v>
      </c>
      <c r="M8" s="10">
        <f t="shared" ref="M8:M69" si="12">L8-I8</f>
        <v>114.93625942707945</v>
      </c>
      <c r="N8" s="14">
        <f t="shared" ref="N8:N69" si="13">(L8-I8)/I8</f>
        <v>6.3649098654627159E-2</v>
      </c>
      <c r="O8" s="10">
        <f>'FY 2013 by Agency'!O8*Inflator!$E$7</f>
        <v>1989.0439985920448</v>
      </c>
      <c r="P8" s="52">
        <f t="shared" ref="P8:P34" si="14">O8-L8</f>
        <v>68.32789535685788</v>
      </c>
      <c r="Q8" s="58">
        <f t="shared" si="0"/>
        <v>3.557417738195081E-2</v>
      </c>
      <c r="R8" s="52">
        <f>'FY 2013 by Agency'!R8*Inflator!$E$8</f>
        <v>2223.8099117447387</v>
      </c>
      <c r="S8" s="52">
        <f t="shared" si="1"/>
        <v>234.76591315269388</v>
      </c>
      <c r="T8" s="58">
        <f t="shared" si="2"/>
        <v>0.11802952238305144</v>
      </c>
      <c r="U8" s="52">
        <f>'FY 2013 by Agency'!U8*Inflator!$E$9</f>
        <v>2195.856100795756</v>
      </c>
      <c r="V8" s="52">
        <f t="shared" ref="V8:V34" si="15">U8-R8</f>
        <v>-27.953810948982664</v>
      </c>
      <c r="W8" s="58">
        <f t="shared" ref="W8:W34" si="16">V8/R8</f>
        <v>-1.2570233994078608E-2</v>
      </c>
      <c r="X8" s="52">
        <f>'FY 2013 by Agency'!X8*Inflator!$E$10</f>
        <v>2610.2769133058118</v>
      </c>
      <c r="Y8" s="39">
        <f t="shared" ref="Y8:Y33" si="17">X8-U8</f>
        <v>414.42081251005584</v>
      </c>
      <c r="Z8" s="58">
        <f>Y8/U8</f>
        <v>0.18872858397227119</v>
      </c>
      <c r="AA8" s="52">
        <f>'FY 2013 by Agency'!AA8*Inflator!$E$11</f>
        <v>4369.0117871933744</v>
      </c>
      <c r="AB8" s="39">
        <f t="shared" si="3"/>
        <v>1758.7348738875626</v>
      </c>
      <c r="AC8" s="58">
        <f t="shared" si="4"/>
        <v>0.67377329390704177</v>
      </c>
      <c r="AD8" s="52" t="e">
        <f>'FY 2013 by Agency'!AD8*Inflator!#REF!</f>
        <v>#REF!</v>
      </c>
      <c r="AE8" s="52">
        <f>'FY 2013 by Agency'!AE8*Inflator!$B$8</f>
        <v>0</v>
      </c>
      <c r="AF8" s="52">
        <f>'FY 2013 by Agency'!AF8*Inflator!$E$12</f>
        <v>4106.9812030075191</v>
      </c>
      <c r="AG8" s="52">
        <f t="shared" ref="AG8:AG34" si="18">AF8-AA8</f>
        <v>-262.03058418585533</v>
      </c>
      <c r="AH8" s="58">
        <f t="shared" ref="AH8:AH34" si="19">AG8/AA8</f>
        <v>-5.9974794518506465E-2</v>
      </c>
      <c r="AI8" s="52">
        <f>'FY 2013 by Agency'!AI8*Inflator!$B$8</f>
        <v>0</v>
      </c>
      <c r="AJ8" s="52">
        <f>'FY 2013 by Agency'!AJ8*Inflator!$B$8</f>
        <v>0</v>
      </c>
      <c r="AK8" s="52">
        <f>'FY 2013 by Agency'!AK8</f>
        <v>4151</v>
      </c>
      <c r="AL8" s="52">
        <f>'FY 2013 by Agency'!AL8</f>
        <v>0</v>
      </c>
      <c r="AM8" s="52">
        <f>'FY 2013 by Agency'!AM8</f>
        <v>4151</v>
      </c>
      <c r="AN8" s="52">
        <f>'FY 2013 by Agency'!AN8</f>
        <v>3968</v>
      </c>
      <c r="AO8" s="52">
        <f>'FY 2013 by Agency'!AO8</f>
        <v>3968</v>
      </c>
      <c r="AP8" s="52">
        <f>'FY 2013 by Agency'!AP8</f>
        <v>0</v>
      </c>
      <c r="AQ8" s="52">
        <f>'FY 2013 by Agency'!AQ8</f>
        <v>0</v>
      </c>
      <c r="AR8" s="52">
        <f>'FY 2013 by Agency'!AR8</f>
        <v>0</v>
      </c>
      <c r="AS8" s="52">
        <f>'FY 2013 by Agency'!AS8</f>
        <v>3435.5985900000001</v>
      </c>
      <c r="AT8" s="52" t="e">
        <f t="shared" ref="AT8:AT41" si="20">AR8-AD8</f>
        <v>#REF!</v>
      </c>
      <c r="AU8" s="58" t="e">
        <f t="shared" ref="AU8:AU41" si="21">AT8/AD8</f>
        <v>#REF!</v>
      </c>
      <c r="AV8" s="52">
        <f t="shared" ref="AV8:AV41" si="22">AS8-AF8</f>
        <v>-671.38261300751901</v>
      </c>
      <c r="AW8" s="58">
        <f t="shared" ref="AW8:AW41" si="23">AV8/AF8</f>
        <v>-0.16347350519059337</v>
      </c>
      <c r="AX8" s="279" t="s">
        <v>252</v>
      </c>
      <c r="AY8" s="280">
        <v>4083.875</v>
      </c>
      <c r="AZ8" s="280">
        <f t="shared" ref="AZ8:AZ38" si="24">+AY8-AO8</f>
        <v>115.875</v>
      </c>
      <c r="BA8" s="280">
        <f t="shared" ref="BA8:BA38" si="25">+AZ8+AV8</f>
        <v>-555.50761300751901</v>
      </c>
      <c r="BB8" s="280">
        <f t="shared" ref="BB8:BB36" si="26">+AZ8+AS8</f>
        <v>3551.4735900000001</v>
      </c>
      <c r="BC8" s="58">
        <f t="shared" ref="BC8:BC36" si="27">+BB8/AF8-1</f>
        <v>-0.13525935122389265</v>
      </c>
      <c r="BD8" s="291">
        <v>0</v>
      </c>
      <c r="BE8" s="51">
        <f t="shared" si="5"/>
        <v>0</v>
      </c>
      <c r="BF8" s="50">
        <v>187</v>
      </c>
      <c r="BI8" s="65">
        <v>3840</v>
      </c>
      <c r="BJ8" s="280">
        <f t="shared" ref="BJ8:BJ41" si="28">BI8-AY8</f>
        <v>-243.875</v>
      </c>
      <c r="BK8" s="65">
        <f t="shared" ref="BK8:BK40" si="29">BI8+AP8+AQ8</f>
        <v>3840</v>
      </c>
      <c r="BL8" s="560">
        <f>'FY 2013 by Agency'!AS8*Inflator!$E$13</f>
        <v>3562.4546868538305</v>
      </c>
      <c r="BM8" s="52">
        <f t="shared" ref="BM8:BM41" si="30">BL8-AF8</f>
        <v>-544.52651615368859</v>
      </c>
      <c r="BN8" s="51">
        <f t="shared" ref="BN8:BN41" si="31">BM8/AF8</f>
        <v>-0.13258558762210426</v>
      </c>
      <c r="BO8" s="52">
        <f>'FY 2013 by Agency'!AX8*Inflator!$E$13</f>
        <v>3981.7882209337818</v>
      </c>
      <c r="BP8" s="52">
        <f t="shared" ref="BP8:BP72" si="32">BO8-AF8</f>
        <v>-125.19298207373731</v>
      </c>
      <c r="BQ8" s="51">
        <f t="shared" ref="BQ8:BQ72" si="33">BP8/AF8</f>
        <v>-3.0482969335739643E-2</v>
      </c>
      <c r="BR8" s="52">
        <f>'FY 2013 by Agency'!BE8*Inflator!$E$14</f>
        <v>3739.9307255897284</v>
      </c>
      <c r="BS8" s="52">
        <f t="shared" ref="BS8:BS72" si="34">BR8-BO8</f>
        <v>-241.8574953440534</v>
      </c>
      <c r="BT8" s="51">
        <f t="shared" ref="BT8:BT72" si="35">BS8/BO8</f>
        <v>-6.0740923907634303E-2</v>
      </c>
      <c r="BU8" s="52">
        <f>'FY 2013 by Agency'!BL8*Inflator!$E$14</f>
        <v>3740.9453568229324</v>
      </c>
      <c r="BV8" s="10">
        <f t="shared" ref="BV8:BV41" si="36">BU8-BL8</f>
        <v>178.49066996910187</v>
      </c>
      <c r="BW8" s="39">
        <v>3751</v>
      </c>
      <c r="BX8" s="39">
        <f>'FY 2013 by Agency'!BW8*Inflator!E15</f>
        <v>4320.9209999999994</v>
      </c>
      <c r="BY8" s="681">
        <v>3951</v>
      </c>
      <c r="BZ8" s="39">
        <f t="shared" ref="BZ8:BZ71" si="37">BW8-BR8</f>
        <v>11.069274410271646</v>
      </c>
      <c r="CA8" s="51">
        <f t="shared" ref="CA8:CA71" si="38">BZ8/BR8</f>
        <v>2.9597538624264747E-3</v>
      </c>
      <c r="CC8" s="39"/>
    </row>
    <row r="9" spans="1:81" ht="18" customHeight="1">
      <c r="A9" s="53" t="s">
        <v>202</v>
      </c>
      <c r="B9" s="322">
        <f>'FY 2013 by Agency'!B9*Inflator!$E$2</f>
        <v>628.65709728867625</v>
      </c>
      <c r="C9" s="322">
        <f>'FY 2013 by Agency'!C9*Inflator!$E$3</f>
        <v>778.59891808346219</v>
      </c>
      <c r="D9" s="322">
        <f t="shared" si="6"/>
        <v>149.94182079478594</v>
      </c>
      <c r="E9" s="351">
        <f t="shared" si="7"/>
        <v>0.2385112988328093</v>
      </c>
      <c r="F9" s="10">
        <f>'FY 2013 by Agency'!F9*Inflator!$E$4</f>
        <v>673.90864103540162</v>
      </c>
      <c r="G9" s="10">
        <f t="shared" si="8"/>
        <v>-104.69027704806058</v>
      </c>
      <c r="H9" s="14">
        <f t="shared" si="9"/>
        <v>-0.1344598285671369</v>
      </c>
      <c r="I9" s="10">
        <f>'FY 2013 by Agency'!I9*Inflator!$E$5</f>
        <v>1065.2711044998143</v>
      </c>
      <c r="J9" s="10">
        <f t="shared" si="10"/>
        <v>391.36246346441271</v>
      </c>
      <c r="K9" s="14">
        <f t="shared" si="11"/>
        <v>0.58073519114270233</v>
      </c>
      <c r="L9" s="10">
        <f>'FY 2013 by Agency'!L9*Inflator!$E$6</f>
        <v>962.2108324245728</v>
      </c>
      <c r="M9" s="10">
        <f t="shared" si="12"/>
        <v>-103.06027207524153</v>
      </c>
      <c r="N9" s="14">
        <f t="shared" si="13"/>
        <v>-9.674558113883347E-2</v>
      </c>
      <c r="O9" s="10">
        <f>'FY 2013 by Agency'!O9*Inflator!$E$7</f>
        <v>1068.0795494544172</v>
      </c>
      <c r="P9" s="52">
        <f t="shared" si="14"/>
        <v>105.86871702984445</v>
      </c>
      <c r="Q9" s="58">
        <f t="shared" si="0"/>
        <v>0.11002652793159387</v>
      </c>
      <c r="R9" s="52">
        <f>'FY 2013 by Agency'!R9*Inflator!$E$8</f>
        <v>1102.6775288526815</v>
      </c>
      <c r="S9" s="52">
        <f t="shared" si="1"/>
        <v>34.597979398264215</v>
      </c>
      <c r="T9" s="58">
        <f t="shared" si="2"/>
        <v>3.2392699041880461E-2</v>
      </c>
      <c r="U9" s="52">
        <f>'FY 2013 by Agency'!U9*Inflator!$E$9</f>
        <v>994.83885941644553</v>
      </c>
      <c r="V9" s="52">
        <f t="shared" si="15"/>
        <v>-107.83866943623593</v>
      </c>
      <c r="W9" s="58">
        <f t="shared" si="16"/>
        <v>-9.7797104424935874E-2</v>
      </c>
      <c r="X9" s="52">
        <f>'FY 2013 by Agency'!X9*Inflator!$E$10</f>
        <v>1019.7237218164498</v>
      </c>
      <c r="Y9" s="39">
        <f t="shared" si="17"/>
        <v>24.884862400004295</v>
      </c>
      <c r="Z9" s="58">
        <f>Y9/U9</f>
        <v>2.5013962979493286E-2</v>
      </c>
      <c r="AA9" s="52">
        <f>'FY 2013 by Agency'!AA9*Inflator!$E$11</f>
        <v>1182.101306148455</v>
      </c>
      <c r="AB9" s="39">
        <f t="shared" si="3"/>
        <v>162.3775843320052</v>
      </c>
      <c r="AC9" s="58">
        <f t="shared" si="4"/>
        <v>0.15923684117376369</v>
      </c>
      <c r="AD9" s="52" t="e">
        <f>'FY 2013 by Agency'!AD9*Inflator!#REF!</f>
        <v>#REF!</v>
      </c>
      <c r="AE9" s="52">
        <f>'FY 2013 by Agency'!AE9*Inflator!$B$8</f>
        <v>0</v>
      </c>
      <c r="AF9" s="52">
        <f>'FY 2013 by Agency'!AF9*Inflator!$E$12</f>
        <v>979.37343358396004</v>
      </c>
      <c r="AG9" s="52">
        <f t="shared" si="18"/>
        <v>-202.72787256449499</v>
      </c>
      <c r="AH9" s="58">
        <f t="shared" si="19"/>
        <v>-0.17149788390389889</v>
      </c>
      <c r="AI9" s="52">
        <f>'FY 2013 by Agency'!AI9*Inflator!$B$8</f>
        <v>0</v>
      </c>
      <c r="AJ9" s="52">
        <f>'FY 2013 by Agency'!AJ9*Inflator!$B$8</f>
        <v>0</v>
      </c>
      <c r="AK9" s="52">
        <f>'FY 2013 by Agency'!AK9</f>
        <v>1023</v>
      </c>
      <c r="AL9" s="52">
        <f>'FY 2013 by Agency'!AL9</f>
        <v>0</v>
      </c>
      <c r="AM9" s="52">
        <f>'FY 2013 by Agency'!AM9</f>
        <v>1023</v>
      </c>
      <c r="AN9" s="52">
        <f>'FY 2013 by Agency'!AN9</f>
        <v>962</v>
      </c>
      <c r="AO9" s="52">
        <f>'FY 2013 by Agency'!AO9</f>
        <v>962</v>
      </c>
      <c r="AP9" s="52">
        <f>'FY 2013 by Agency'!AP9</f>
        <v>0</v>
      </c>
      <c r="AQ9" s="52">
        <f>'FY 2013 by Agency'!AQ9</f>
        <v>0</v>
      </c>
      <c r="AR9" s="52">
        <f>'FY 2013 by Agency'!AR9</f>
        <v>0</v>
      </c>
      <c r="AS9" s="52">
        <f>'FY 2013 by Agency'!AS9</f>
        <v>833.00954999999999</v>
      </c>
      <c r="AT9" s="52" t="e">
        <f t="shared" si="20"/>
        <v>#REF!</v>
      </c>
      <c r="AU9" s="58" t="e">
        <f t="shared" si="21"/>
        <v>#REF!</v>
      </c>
      <c r="AV9" s="52">
        <f t="shared" si="22"/>
        <v>-146.36388358396005</v>
      </c>
      <c r="AW9" s="58">
        <f t="shared" si="23"/>
        <v>-0.14944645072549081</v>
      </c>
      <c r="AX9" s="279" t="s">
        <v>253</v>
      </c>
      <c r="AY9" s="280">
        <v>968</v>
      </c>
      <c r="AZ9" s="280">
        <f t="shared" si="24"/>
        <v>6</v>
      </c>
      <c r="BA9" s="280">
        <f t="shared" si="25"/>
        <v>-140.36388358396005</v>
      </c>
      <c r="BB9" s="280">
        <f t="shared" si="26"/>
        <v>839.00954999999999</v>
      </c>
      <c r="BC9" s="58">
        <f t="shared" si="27"/>
        <v>-0.14332008483251035</v>
      </c>
      <c r="BD9" s="291">
        <v>0</v>
      </c>
      <c r="BE9" s="51">
        <f t="shared" si="5"/>
        <v>0</v>
      </c>
      <c r="BF9" s="50">
        <v>76</v>
      </c>
      <c r="BI9" s="65">
        <v>889</v>
      </c>
      <c r="BJ9" s="280">
        <f t="shared" si="28"/>
        <v>-79</v>
      </c>
      <c r="BK9" s="65">
        <f t="shared" si="29"/>
        <v>889</v>
      </c>
      <c r="BL9" s="561">
        <f>'FY 2013 by Agency'!AS9*Inflator!$E$13</f>
        <v>863.76760784253906</v>
      </c>
      <c r="BM9" s="52">
        <f t="shared" si="30"/>
        <v>-115.60582574142097</v>
      </c>
      <c r="BN9" s="51">
        <f t="shared" si="31"/>
        <v>-0.11804059797534858</v>
      </c>
      <c r="BO9" s="52">
        <f>'FY 2013 by Agency'!AX9*Inflator!$E$13</f>
        <v>921.82545010680519</v>
      </c>
      <c r="BP9" s="52">
        <f t="shared" si="32"/>
        <v>-57.547983477154844</v>
      </c>
      <c r="BQ9" s="51">
        <f t="shared" si="33"/>
        <v>-5.876000053070804E-2</v>
      </c>
      <c r="BR9" s="52">
        <f>'FY 2013 by Agency'!BE9*Inflator!$E$14</f>
        <v>902.00716631830403</v>
      </c>
      <c r="BS9" s="52">
        <f t="shared" si="34"/>
        <v>-19.818283788501162</v>
      </c>
      <c r="BT9" s="51">
        <f t="shared" si="35"/>
        <v>-2.1498954911914139E-2</v>
      </c>
      <c r="BU9" s="52">
        <f>'FY 2013 by Agency'!BL9*Inflator!$E$14</f>
        <v>902.00716631830403</v>
      </c>
      <c r="BV9" s="10">
        <f t="shared" si="36"/>
        <v>38.239558475764966</v>
      </c>
      <c r="BW9" s="39">
        <v>894</v>
      </c>
      <c r="BX9" s="39">
        <f>'FY 2013 by Agency'!BW9*Inflator!E15</f>
        <v>894.25</v>
      </c>
      <c r="BY9" s="681">
        <v>894</v>
      </c>
      <c r="BZ9" s="39">
        <f t="shared" si="37"/>
        <v>-8.00716631830403</v>
      </c>
      <c r="CA9" s="51">
        <f t="shared" si="38"/>
        <v>-8.877053993912979E-3</v>
      </c>
      <c r="CC9" s="39"/>
    </row>
    <row r="10" spans="1:81" ht="18" customHeight="1">
      <c r="A10" s="53" t="s">
        <v>203</v>
      </c>
      <c r="B10" s="322">
        <f>'FY 2013 by Agency'!B10*Inflator!$E$2</f>
        <v>7095.4250398724089</v>
      </c>
      <c r="C10" s="322">
        <f>'FY 2013 by Agency'!C10*Inflator!$E$3</f>
        <v>8118.173879443586</v>
      </c>
      <c r="D10" s="322">
        <f t="shared" si="6"/>
        <v>1022.7488395711771</v>
      </c>
      <c r="E10" s="351">
        <f t="shared" si="7"/>
        <v>0.14414201176446623</v>
      </c>
      <c r="F10" s="10">
        <f>'FY 2013 by Agency'!F10*Inflator!$E$4</f>
        <v>9188.9577464788727</v>
      </c>
      <c r="G10" s="10">
        <f t="shared" si="8"/>
        <v>1070.7838670352867</v>
      </c>
      <c r="H10" s="14">
        <f t="shared" si="9"/>
        <v>0.13189959748788696</v>
      </c>
      <c r="I10" s="10">
        <f>'FY 2013 by Agency'!I10*Inflator!$E$5</f>
        <v>7368.4410561547056</v>
      </c>
      <c r="J10" s="10">
        <f t="shared" si="10"/>
        <v>-1820.516690324167</v>
      </c>
      <c r="K10" s="14">
        <f t="shared" si="11"/>
        <v>-0.19812004152720944</v>
      </c>
      <c r="L10" s="10">
        <f>'FY 2013 by Agency'!L10*Inflator!$E$6</f>
        <v>7616.1643038894936</v>
      </c>
      <c r="M10" s="10">
        <f t="shared" si="12"/>
        <v>247.72324773478795</v>
      </c>
      <c r="N10" s="14">
        <f t="shared" si="13"/>
        <v>3.3619492352167199E-2</v>
      </c>
      <c r="O10" s="10">
        <f>'FY 2013 by Agency'!O10*Inflator!$E$7</f>
        <v>7222.9926082365355</v>
      </c>
      <c r="P10" s="52">
        <f t="shared" si="14"/>
        <v>-393.17169565295808</v>
      </c>
      <c r="Q10" s="58">
        <f t="shared" si="0"/>
        <v>-5.162332113189437E-2</v>
      </c>
      <c r="R10" s="52">
        <f>'FY 2013 by Agency'!R10*Inflator!$E$8</f>
        <v>11896.460285132382</v>
      </c>
      <c r="S10" s="52">
        <f t="shared" si="1"/>
        <v>4673.4676768958461</v>
      </c>
      <c r="T10" s="58">
        <f t="shared" si="2"/>
        <v>0.64702650693101771</v>
      </c>
      <c r="U10" s="52">
        <f>'FY 2013 by Agency'!U10*Inflator!$E$9</f>
        <v>14246.588196286471</v>
      </c>
      <c r="V10" s="52">
        <f t="shared" si="15"/>
        <v>2350.1279111540898</v>
      </c>
      <c r="W10" s="58">
        <f t="shared" si="16"/>
        <v>0.19754850222895004</v>
      </c>
      <c r="X10" s="52">
        <f>'FY 2013 by Agency'!X10*Inflator!$E$10</f>
        <v>10658.001270244524</v>
      </c>
      <c r="Y10" s="39">
        <f t="shared" si="17"/>
        <v>-3588.5869260419477</v>
      </c>
      <c r="Z10" s="58">
        <f>Y10/U10</f>
        <v>-0.2518909704273864</v>
      </c>
      <c r="AA10" s="52">
        <f>'FY 2013 by Agency'!AA10*Inflator!$E$11</f>
        <v>10380.191780821919</v>
      </c>
      <c r="AB10" s="39">
        <f t="shared" si="3"/>
        <v>-277.80948942260511</v>
      </c>
      <c r="AC10" s="58">
        <f t="shared" si="4"/>
        <v>-2.6065815004001347E-2</v>
      </c>
      <c r="AD10" s="52" t="e">
        <f>'FY 2013 by Agency'!AD10*Inflator!#REF!</f>
        <v>#REF!</v>
      </c>
      <c r="AE10" s="52">
        <f>'FY 2013 by Agency'!AE10*Inflator!$B$8</f>
        <v>0</v>
      </c>
      <c r="AF10" s="52">
        <f>'FY 2013 by Agency'!AF10*Inflator!$E$12</f>
        <v>7841.3746867167929</v>
      </c>
      <c r="AG10" s="52">
        <f t="shared" si="18"/>
        <v>-2538.8170941051258</v>
      </c>
      <c r="AH10" s="58">
        <f t="shared" si="19"/>
        <v>-0.24458286973037974</v>
      </c>
      <c r="AI10" s="52">
        <f>'FY 2013 by Agency'!AI10*Inflator!$B$8</f>
        <v>0</v>
      </c>
      <c r="AJ10" s="52">
        <f>'FY 2013 by Agency'!AJ10*Inflator!$B$8</f>
        <v>0</v>
      </c>
      <c r="AK10" s="52">
        <f>'FY 2013 by Agency'!AK10</f>
        <v>5451</v>
      </c>
      <c r="AL10" s="52">
        <f>'FY 2013 by Agency'!AL10</f>
        <v>0</v>
      </c>
      <c r="AM10" s="52">
        <f>'FY 2013 by Agency'!AM10</f>
        <v>5451</v>
      </c>
      <c r="AN10" s="52">
        <f>'FY 2013 by Agency'!AN10</f>
        <v>4544</v>
      </c>
      <c r="AO10" s="52">
        <f>'FY 2013 by Agency'!AO10</f>
        <v>4544</v>
      </c>
      <c r="AP10" s="52">
        <f>'FY 2013 by Agency'!AP10</f>
        <v>6</v>
      </c>
      <c r="AQ10" s="52">
        <f>'FY 2013 by Agency'!AQ10</f>
        <v>89</v>
      </c>
      <c r="AR10" s="52">
        <f>'FY 2013 by Agency'!AR10</f>
        <v>95</v>
      </c>
      <c r="AS10" s="52">
        <f>'FY 2013 by Agency'!AS10</f>
        <v>8105.1669300000003</v>
      </c>
      <c r="AT10" s="52" t="e">
        <f t="shared" si="20"/>
        <v>#REF!</v>
      </c>
      <c r="AU10" s="58" t="e">
        <f t="shared" si="21"/>
        <v>#REF!</v>
      </c>
      <c r="AV10" s="52">
        <f t="shared" si="22"/>
        <v>263.79224328320743</v>
      </c>
      <c r="AW10" s="58">
        <f t="shared" si="23"/>
        <v>3.3641071090515381E-2</v>
      </c>
      <c r="AX10" s="279" t="s">
        <v>254</v>
      </c>
      <c r="AY10" s="280">
        <v>4544</v>
      </c>
      <c r="AZ10" s="280">
        <f t="shared" si="24"/>
        <v>0</v>
      </c>
      <c r="BA10" s="280">
        <f t="shared" si="25"/>
        <v>263.79224328320743</v>
      </c>
      <c r="BB10" s="280">
        <f t="shared" si="26"/>
        <v>8105.1669300000003</v>
      </c>
      <c r="BC10" s="58">
        <f t="shared" si="27"/>
        <v>3.3641071090515284E-2</v>
      </c>
      <c r="BD10" s="291">
        <v>48.789000000000001</v>
      </c>
      <c r="BE10" s="51">
        <f t="shared" si="5"/>
        <v>1.0737015845070422E-2</v>
      </c>
      <c r="BI10" s="219">
        <v>8681</v>
      </c>
      <c r="BJ10" s="280">
        <f t="shared" si="28"/>
        <v>4137</v>
      </c>
      <c r="BK10" s="65">
        <f t="shared" si="29"/>
        <v>8776</v>
      </c>
      <c r="BL10" s="561">
        <f>'FY 2013 by Agency'!AS10*Inflator!$E$13</f>
        <v>8404.4422423375054</v>
      </c>
      <c r="BM10" s="52">
        <f t="shared" si="30"/>
        <v>563.06755562071248</v>
      </c>
      <c r="BN10" s="51">
        <f t="shared" si="31"/>
        <v>7.1807250401456149E-2</v>
      </c>
      <c r="BO10" s="52">
        <f>'FY 2013 by Agency'!AX10*Inflator!$E$13</f>
        <v>9001.5373817516029</v>
      </c>
      <c r="BP10" s="52">
        <f t="shared" si="32"/>
        <v>1160.16269503481</v>
      </c>
      <c r="BQ10" s="51">
        <f t="shared" si="33"/>
        <v>0.14795399293954331</v>
      </c>
      <c r="BR10" s="52">
        <f>'FY 2013 by Agency'!BE10*Inflator!$E$14</f>
        <v>8379.839355031354</v>
      </c>
      <c r="BS10" s="52">
        <f t="shared" si="34"/>
        <v>-621.69802672024889</v>
      </c>
      <c r="BT10" s="51">
        <f t="shared" si="35"/>
        <v>-6.9065760697787942E-2</v>
      </c>
      <c r="BU10" s="52">
        <f>'FY 2013 by Agency'!BL10*Inflator!$E$14</f>
        <v>8462.0244849208721</v>
      </c>
      <c r="BV10" s="10">
        <f t="shared" si="36"/>
        <v>57.582242583366678</v>
      </c>
      <c r="BW10" s="487">
        <v>8435</v>
      </c>
      <c r="BX10" s="39">
        <f>'FY 2013 by Agency'!BW10*Inflator!E15</f>
        <v>8763.1689999999999</v>
      </c>
      <c r="BY10" s="681">
        <v>8435</v>
      </c>
      <c r="BZ10" s="39">
        <f t="shared" si="37"/>
        <v>55.160644968646011</v>
      </c>
      <c r="CA10" s="51">
        <f t="shared" si="38"/>
        <v>6.5825420550009606E-3</v>
      </c>
      <c r="CC10" s="39"/>
    </row>
    <row r="11" spans="1:81" ht="18" customHeight="1">
      <c r="A11" s="53" t="s">
        <v>204</v>
      </c>
      <c r="B11" s="325" t="s">
        <v>78</v>
      </c>
      <c r="C11" s="325" t="s">
        <v>78</v>
      </c>
      <c r="D11" s="325" t="s">
        <v>78</v>
      </c>
      <c r="E11" s="325" t="s">
        <v>78</v>
      </c>
      <c r="F11" s="325" t="s">
        <v>78</v>
      </c>
      <c r="G11" s="325" t="s">
        <v>78</v>
      </c>
      <c r="H11" s="325" t="s">
        <v>78</v>
      </c>
      <c r="I11" s="325" t="s">
        <v>78</v>
      </c>
      <c r="J11" s="325" t="s">
        <v>78</v>
      </c>
      <c r="K11" s="325" t="s">
        <v>78</v>
      </c>
      <c r="L11" s="325" t="s">
        <v>78</v>
      </c>
      <c r="M11" s="325" t="s">
        <v>78</v>
      </c>
      <c r="N11" s="325" t="s">
        <v>78</v>
      </c>
      <c r="O11" s="325" t="s">
        <v>78</v>
      </c>
      <c r="P11" s="325" t="s">
        <v>78</v>
      </c>
      <c r="Q11" s="325" t="s">
        <v>78</v>
      </c>
      <c r="R11" s="325" t="s">
        <v>78</v>
      </c>
      <c r="S11" s="325" t="s">
        <v>78</v>
      </c>
      <c r="T11" s="325" t="s">
        <v>78</v>
      </c>
      <c r="U11" s="325" t="s">
        <v>78</v>
      </c>
      <c r="V11" s="325" t="s">
        <v>78</v>
      </c>
      <c r="W11" s="325" t="s">
        <v>78</v>
      </c>
      <c r="X11" s="52" t="e">
        <f>'FY 2013 by Agency'!X11*Inflator!$E$10</f>
        <v>#VALUE!</v>
      </c>
      <c r="Y11" s="325" t="s">
        <v>78</v>
      </c>
      <c r="Z11" s="61"/>
      <c r="AA11" s="52" t="e">
        <f>'FY 2013 by Agency'!AA11*Inflator!$E$11</f>
        <v>#VALUE!</v>
      </c>
      <c r="AB11" s="39" t="e">
        <f t="shared" si="3"/>
        <v>#VALUE!</v>
      </c>
      <c r="AC11" s="58" t="e">
        <f t="shared" si="4"/>
        <v>#VALUE!</v>
      </c>
      <c r="AD11" s="52" t="e">
        <f>'FY 2013 by Agency'!AD11*Inflator!#REF!</f>
        <v>#VALUE!</v>
      </c>
      <c r="AE11" s="52" t="e">
        <f>'FY 2013 by Agency'!AE11*Inflator!$B$8</f>
        <v>#VALUE!</v>
      </c>
      <c r="AF11" s="52">
        <f>'FY 2013 by Agency'!AF11*Inflator!$E$12</f>
        <v>0</v>
      </c>
      <c r="AG11" s="52" t="e">
        <f t="shared" si="18"/>
        <v>#VALUE!</v>
      </c>
      <c r="AH11" s="58" t="e">
        <f t="shared" si="19"/>
        <v>#VALUE!</v>
      </c>
      <c r="AI11" s="52">
        <f>'FY 2013 by Agency'!AI11*Inflator!$B$8</f>
        <v>0</v>
      </c>
      <c r="AJ11" s="52">
        <f>'FY 2013 by Agency'!AJ11*Inflator!$B$8</f>
        <v>0</v>
      </c>
      <c r="AK11" s="52">
        <f>'FY 2013 by Agency'!AK11</f>
        <v>3017</v>
      </c>
      <c r="AL11" s="52">
        <f>'FY 2013 by Agency'!AL11</f>
        <v>0</v>
      </c>
      <c r="AM11" s="52">
        <f>'FY 2013 by Agency'!AM11</f>
        <v>3017</v>
      </c>
      <c r="AN11" s="52">
        <f>'FY 2013 by Agency'!AN11</f>
        <v>2676</v>
      </c>
      <c r="AO11" s="52">
        <f>'FY 2013 by Agency'!AO11</f>
        <v>2676</v>
      </c>
      <c r="AP11" s="52">
        <f>'FY 2013 by Agency'!AP11</f>
        <v>13</v>
      </c>
      <c r="AQ11" s="52">
        <f>'FY 2013 by Agency'!AQ11</f>
        <v>8</v>
      </c>
      <c r="AR11" s="52">
        <f>'FY 2013 by Agency'!AR11</f>
        <v>21</v>
      </c>
      <c r="AS11" s="52">
        <f>'FY 2013 by Agency'!AS11</f>
        <v>21</v>
      </c>
      <c r="AT11" s="52" t="e">
        <f t="shared" si="20"/>
        <v>#VALUE!</v>
      </c>
      <c r="AU11" s="58" t="e">
        <f t="shared" si="21"/>
        <v>#VALUE!</v>
      </c>
      <c r="AV11" s="52">
        <f t="shared" si="22"/>
        <v>21</v>
      </c>
      <c r="AW11" s="58" t="e">
        <f t="shared" si="23"/>
        <v>#DIV/0!</v>
      </c>
      <c r="AX11" s="279" t="s">
        <v>255</v>
      </c>
      <c r="AY11" s="280">
        <v>2231.75</v>
      </c>
      <c r="AZ11" s="280">
        <f t="shared" si="24"/>
        <v>-444.25</v>
      </c>
      <c r="BA11" s="280">
        <f t="shared" si="25"/>
        <v>-423.25</v>
      </c>
      <c r="BB11" s="280">
        <f t="shared" si="26"/>
        <v>-423.25</v>
      </c>
      <c r="BC11" s="58" t="e">
        <f t="shared" si="27"/>
        <v>#DIV/0!</v>
      </c>
      <c r="BD11" s="291">
        <v>20.716000000000001</v>
      </c>
      <c r="BE11" s="51">
        <f t="shared" si="5"/>
        <v>9.2824017026996754E-3</v>
      </c>
      <c r="BI11" s="219">
        <v>0</v>
      </c>
      <c r="BJ11" s="280">
        <f t="shared" si="28"/>
        <v>-2231.75</v>
      </c>
      <c r="BK11" s="65">
        <f t="shared" si="29"/>
        <v>21</v>
      </c>
      <c r="BL11" s="561">
        <f>'FY 2013 by Agency'!AS11*Inflator!$E$13</f>
        <v>21.775404333231617</v>
      </c>
      <c r="BM11" s="52">
        <f t="shared" si="30"/>
        <v>21.775404333231617</v>
      </c>
      <c r="BN11" s="51" t="e">
        <f t="shared" si="31"/>
        <v>#DIV/0!</v>
      </c>
      <c r="BO11" s="52">
        <f>'FY 2013 by Agency'!AX11*Inflator!$E$13</f>
        <v>0</v>
      </c>
      <c r="BP11" s="52">
        <f t="shared" si="32"/>
        <v>0</v>
      </c>
      <c r="BQ11" s="51" t="e">
        <f t="shared" si="33"/>
        <v>#DIV/0!</v>
      </c>
      <c r="BR11" s="52">
        <f>'FY 2013 by Agency'!BE11*Inflator!$E$14</f>
        <v>0</v>
      </c>
      <c r="BS11" s="52">
        <f t="shared" si="34"/>
        <v>0</v>
      </c>
      <c r="BT11" s="51" t="e">
        <f t="shared" si="35"/>
        <v>#DIV/0!</v>
      </c>
      <c r="BU11" s="52">
        <f>'FY 2013 by Agency'!BL11*Inflator!$E$14</f>
        <v>13.19020603165124</v>
      </c>
      <c r="BV11" s="10">
        <f t="shared" si="36"/>
        <v>-8.5851983015803768</v>
      </c>
      <c r="BW11" s="487">
        <v>0</v>
      </c>
      <c r="BX11" s="39">
        <f>'FY 2013 by Agency'!BW11*Inflator!E15</f>
        <v>93.855000000000004</v>
      </c>
      <c r="BY11" s="681">
        <v>0</v>
      </c>
      <c r="BZ11" s="39">
        <f t="shared" si="37"/>
        <v>0</v>
      </c>
      <c r="CA11" s="51" t="e">
        <f t="shared" si="38"/>
        <v>#DIV/0!</v>
      </c>
      <c r="CC11" s="39"/>
    </row>
    <row r="12" spans="1:81" ht="18" customHeight="1">
      <c r="A12" s="53" t="s">
        <v>131</v>
      </c>
      <c r="B12" s="325" t="s">
        <v>78</v>
      </c>
      <c r="C12" s="325" t="s">
        <v>78</v>
      </c>
      <c r="D12" s="325" t="s">
        <v>78</v>
      </c>
      <c r="E12" s="325" t="s">
        <v>78</v>
      </c>
      <c r="F12" s="325" t="s">
        <v>78</v>
      </c>
      <c r="G12" s="325" t="s">
        <v>78</v>
      </c>
      <c r="H12" s="325" t="s">
        <v>78</v>
      </c>
      <c r="I12" s="325" t="s">
        <v>78</v>
      </c>
      <c r="J12" s="325" t="s">
        <v>78</v>
      </c>
      <c r="K12" s="325" t="s">
        <v>78</v>
      </c>
      <c r="L12" s="325" t="s">
        <v>78</v>
      </c>
      <c r="M12" s="325" t="s">
        <v>78</v>
      </c>
      <c r="N12" s="325" t="s">
        <v>78</v>
      </c>
      <c r="O12" s="325" t="s">
        <v>78</v>
      </c>
      <c r="P12" s="325" t="s">
        <v>78</v>
      </c>
      <c r="Q12" s="325" t="s">
        <v>78</v>
      </c>
      <c r="R12" s="325" t="s">
        <v>78</v>
      </c>
      <c r="S12" s="325" t="s">
        <v>78</v>
      </c>
      <c r="T12" s="325" t="s">
        <v>78</v>
      </c>
      <c r="U12" s="325" t="s">
        <v>78</v>
      </c>
      <c r="V12" s="325" t="s">
        <v>78</v>
      </c>
      <c r="W12" s="325" t="s">
        <v>78</v>
      </c>
      <c r="X12" s="52" t="e">
        <f>'FY 2013 by Agency'!X12*Inflator!$E$10</f>
        <v>#VALUE!</v>
      </c>
      <c r="Y12" s="325" t="s">
        <v>78</v>
      </c>
      <c r="Z12" s="61"/>
      <c r="AA12" s="52" t="e">
        <f>'FY 2013 by Agency'!AA12*Inflator!$E$11</f>
        <v>#VALUE!</v>
      </c>
      <c r="AB12" s="39" t="e">
        <f t="shared" si="3"/>
        <v>#VALUE!</v>
      </c>
      <c r="AC12" s="58" t="e">
        <f t="shared" si="4"/>
        <v>#VALUE!</v>
      </c>
      <c r="AD12" s="52" t="e">
        <f>'FY 2013 by Agency'!AD12*Inflator!#REF!</f>
        <v>#VALUE!</v>
      </c>
      <c r="AE12" s="52" t="e">
        <f>'FY 2013 by Agency'!AE12*Inflator!$B$8</f>
        <v>#VALUE!</v>
      </c>
      <c r="AF12" s="52">
        <f>'FY 2013 by Agency'!AF12*Inflator!$E$12</f>
        <v>0</v>
      </c>
      <c r="AG12" s="52" t="e">
        <f t="shared" si="18"/>
        <v>#VALUE!</v>
      </c>
      <c r="AH12" s="58" t="e">
        <f t="shared" si="19"/>
        <v>#VALUE!</v>
      </c>
      <c r="AI12" s="52">
        <f>'FY 2013 by Agency'!AI12*Inflator!$B$8</f>
        <v>0</v>
      </c>
      <c r="AJ12" s="52">
        <f>'FY 2013 by Agency'!AJ12*Inflator!$B$8</f>
        <v>0</v>
      </c>
      <c r="AK12" s="52">
        <f>'FY 2013 by Agency'!AK12</f>
        <v>472</v>
      </c>
      <c r="AL12" s="52">
        <f>'FY 2013 by Agency'!AL12</f>
        <v>0</v>
      </c>
      <c r="AM12" s="52">
        <f>'FY 2013 by Agency'!AM12</f>
        <v>472</v>
      </c>
      <c r="AN12" s="52">
        <f>'FY 2013 by Agency'!AN12</f>
        <v>302</v>
      </c>
      <c r="AO12" s="52">
        <f>'FY 2013 by Agency'!AO12</f>
        <v>302</v>
      </c>
      <c r="AP12" s="52">
        <f>'FY 2013 by Agency'!AP12</f>
        <v>110</v>
      </c>
      <c r="AQ12" s="52">
        <f>'FY 2013 by Agency'!AQ12</f>
        <v>0</v>
      </c>
      <c r="AR12" s="52">
        <f>'FY 2013 by Agency'!AR12</f>
        <v>110</v>
      </c>
      <c r="AS12" s="52">
        <f>'FY 2013 by Agency'!AS12</f>
        <v>110</v>
      </c>
      <c r="AT12" s="52" t="e">
        <f t="shared" si="20"/>
        <v>#VALUE!</v>
      </c>
      <c r="AU12" s="58" t="e">
        <f t="shared" si="21"/>
        <v>#VALUE!</v>
      </c>
      <c r="AV12" s="52">
        <f t="shared" si="22"/>
        <v>110</v>
      </c>
      <c r="AW12" s="58" t="e">
        <f t="shared" si="23"/>
        <v>#DIV/0!</v>
      </c>
      <c r="AX12" s="279" t="s">
        <v>256</v>
      </c>
      <c r="AY12" s="280">
        <v>302</v>
      </c>
      <c r="AZ12" s="280">
        <f t="shared" si="24"/>
        <v>0</v>
      </c>
      <c r="BA12" s="280">
        <f t="shared" si="25"/>
        <v>110</v>
      </c>
      <c r="BB12" s="280">
        <f t="shared" si="26"/>
        <v>110</v>
      </c>
      <c r="BC12" s="58" t="e">
        <f t="shared" si="27"/>
        <v>#DIV/0!</v>
      </c>
      <c r="BD12" s="291">
        <v>9.4700000000000006</v>
      </c>
      <c r="BE12" s="51">
        <f t="shared" si="5"/>
        <v>3.1357615894039736E-2</v>
      </c>
      <c r="BI12" s="219">
        <v>0</v>
      </c>
      <c r="BJ12" s="280">
        <f t="shared" si="28"/>
        <v>-302</v>
      </c>
      <c r="BK12" s="65">
        <f t="shared" si="29"/>
        <v>110</v>
      </c>
      <c r="BL12" s="561">
        <f>'FY 2013 by Agency'!AS12*Inflator!$E$13</f>
        <v>114.06164174549895</v>
      </c>
      <c r="BM12" s="52">
        <f t="shared" si="30"/>
        <v>114.06164174549895</v>
      </c>
      <c r="BN12" s="51" t="e">
        <f t="shared" si="31"/>
        <v>#DIV/0!</v>
      </c>
      <c r="BO12" s="52">
        <f>'FY 2013 by Agency'!AX12*Inflator!$E$13</f>
        <v>0</v>
      </c>
      <c r="BP12" s="52">
        <f t="shared" si="32"/>
        <v>0</v>
      </c>
      <c r="BQ12" s="51" t="e">
        <f t="shared" si="33"/>
        <v>#DIV/0!</v>
      </c>
      <c r="BR12" s="52">
        <f>'FY 2013 by Agency'!BE12*Inflator!$E$14</f>
        <v>0</v>
      </c>
      <c r="BS12" s="52">
        <f t="shared" si="34"/>
        <v>0</v>
      </c>
      <c r="BT12" s="51" t="e">
        <f t="shared" si="35"/>
        <v>#DIV/0!</v>
      </c>
      <c r="BU12" s="52">
        <f>'FY 2013 by Agency'!BL12*Inflator!$E$14</f>
        <v>104.50701702000597</v>
      </c>
      <c r="BV12" s="10">
        <f t="shared" si="36"/>
        <v>-9.554624725492971</v>
      </c>
      <c r="BW12" s="487">
        <v>0</v>
      </c>
      <c r="BX12" s="39">
        <f>'FY 2013 by Agency'!BW12*Inflator!E15</f>
        <v>126.22</v>
      </c>
      <c r="BY12" s="681">
        <v>0</v>
      </c>
      <c r="BZ12" s="39">
        <f t="shared" si="37"/>
        <v>0</v>
      </c>
      <c r="CA12" s="51" t="e">
        <f t="shared" si="38"/>
        <v>#DIV/0!</v>
      </c>
      <c r="CC12" s="39"/>
    </row>
    <row r="13" spans="1:81" ht="39" customHeight="1">
      <c r="A13" s="53" t="s">
        <v>205</v>
      </c>
      <c r="B13" s="322">
        <f>'FY 2013 by Agency'!B13*Inflator!$E$2</f>
        <v>2551.2097288676237</v>
      </c>
      <c r="C13" s="322">
        <f>'FY 2013 by Agency'!C13*Inflator!$E$3</f>
        <v>3048.7465224111284</v>
      </c>
      <c r="D13" s="322">
        <f t="shared" si="6"/>
        <v>497.5367935435047</v>
      </c>
      <c r="E13" s="351">
        <f t="shared" si="7"/>
        <v>0.19501994991385543</v>
      </c>
      <c r="F13" s="10">
        <f>'FY 2013 by Agency'!F13*Inflator!$E$4</f>
        <v>2973.7350590026645</v>
      </c>
      <c r="G13" s="10">
        <f t="shared" si="8"/>
        <v>-75.011463408463896</v>
      </c>
      <c r="H13" s="14">
        <f t="shared" si="9"/>
        <v>-2.4604034102887772E-2</v>
      </c>
      <c r="I13" s="10">
        <f>'FY 2013 by Agency'!I13*Inflator!$E$5</f>
        <v>3236.2506507995545</v>
      </c>
      <c r="J13" s="10">
        <f t="shared" si="10"/>
        <v>262.51559179689002</v>
      </c>
      <c r="K13" s="14">
        <f t="shared" si="11"/>
        <v>8.8278070032551212E-2</v>
      </c>
      <c r="L13" s="10">
        <f>'FY 2013 by Agency'!L13*Inflator!$E$6</f>
        <v>3290.5387131952016</v>
      </c>
      <c r="M13" s="10">
        <f t="shared" si="12"/>
        <v>54.288062395647103</v>
      </c>
      <c r="N13" s="14">
        <f t="shared" si="13"/>
        <v>1.6774986938120687E-2</v>
      </c>
      <c r="O13" s="10">
        <f>'FY 2013 by Agency'!O13*Inflator!$E$7</f>
        <v>3415.9408658922912</v>
      </c>
      <c r="P13" s="52">
        <f t="shared" si="14"/>
        <v>125.4021526970896</v>
      </c>
      <c r="Q13" s="58">
        <f t="shared" si="0"/>
        <v>3.810991561783534E-2</v>
      </c>
      <c r="R13" s="52">
        <f>'FY 2013 by Agency'!R13*Inflator!$E$8</f>
        <v>3536.4114052953155</v>
      </c>
      <c r="S13" s="52">
        <f t="shared" si="1"/>
        <v>120.4705394030243</v>
      </c>
      <c r="T13" s="58">
        <f t="shared" si="2"/>
        <v>3.5267161854558547E-2</v>
      </c>
      <c r="U13" s="52">
        <f>'FY 2013 by Agency'!U13*Inflator!$E$9</f>
        <v>3959.075596816976</v>
      </c>
      <c r="V13" s="52">
        <f t="shared" si="15"/>
        <v>422.66419152166054</v>
      </c>
      <c r="W13" s="58">
        <f t="shared" si="16"/>
        <v>0.1195178227535337</v>
      </c>
      <c r="X13" s="52">
        <f>'FY 2013 by Agency'!X13*Inflator!$E$10</f>
        <v>3533.9631629088603</v>
      </c>
      <c r="Y13" s="39">
        <f t="shared" si="17"/>
        <v>-425.11243390811569</v>
      </c>
      <c r="Z13" s="58">
        <f t="shared" ref="Z13:Z19" si="39">Y13/U13</f>
        <v>-0.1073766902177615</v>
      </c>
      <c r="AA13" s="52">
        <f>'FY 2013 by Agency'!AA13*Inflator!$E$11</f>
        <v>4659.1245619624087</v>
      </c>
      <c r="AB13" s="39">
        <f t="shared" si="3"/>
        <v>1125.1613990535484</v>
      </c>
      <c r="AC13" s="58">
        <f t="shared" si="4"/>
        <v>0.31838515207595158</v>
      </c>
      <c r="AD13" s="52" t="e">
        <f>'FY 2013 by Agency'!AD13*Inflator!#REF!</f>
        <v>#REF!</v>
      </c>
      <c r="AE13" s="52">
        <f>'FY 2013 by Agency'!AE13*Inflator!$B$8</f>
        <v>0</v>
      </c>
      <c r="AF13" s="52">
        <f>'FY 2013 by Agency'!AF13*Inflator!$E$12</f>
        <v>3137.1885964912285</v>
      </c>
      <c r="AG13" s="52">
        <f t="shared" si="18"/>
        <v>-1521.9359654711802</v>
      </c>
      <c r="AH13" s="58">
        <f t="shared" si="19"/>
        <v>-0.32665706727320154</v>
      </c>
      <c r="AI13" s="52">
        <f>'FY 2013 by Agency'!AI13*Inflator!$B$8</f>
        <v>0</v>
      </c>
      <c r="AJ13" s="52">
        <f>'FY 2013 by Agency'!AJ13*Inflator!$B$8</f>
        <v>0</v>
      </c>
      <c r="AK13" s="52">
        <f>'FY 2013 by Agency'!AK13</f>
        <v>2689</v>
      </c>
      <c r="AL13" s="52">
        <f>'FY 2013 by Agency'!AL13</f>
        <v>150</v>
      </c>
      <c r="AM13" s="52">
        <f>'FY 2013 by Agency'!AM13</f>
        <v>2839</v>
      </c>
      <c r="AN13" s="52">
        <f>'FY 2013 by Agency'!AN13</f>
        <v>2028</v>
      </c>
      <c r="AO13" s="52">
        <f>'FY 2013 by Agency'!AO13</f>
        <v>2727</v>
      </c>
      <c r="AP13" s="52">
        <f>'FY 2013 by Agency'!AP13</f>
        <v>313</v>
      </c>
      <c r="AQ13" s="52">
        <f>'FY 2013 by Agency'!AQ13</f>
        <v>36</v>
      </c>
      <c r="AR13" s="52">
        <f>'FY 2013 by Agency'!AR13</f>
        <v>349</v>
      </c>
      <c r="AS13" s="52">
        <f>'FY 2013 by Agency'!AS13</f>
        <v>3220.0817099999999</v>
      </c>
      <c r="AT13" s="52" t="e">
        <f t="shared" si="20"/>
        <v>#REF!</v>
      </c>
      <c r="AU13" s="58" t="e">
        <f t="shared" si="21"/>
        <v>#REF!</v>
      </c>
      <c r="AV13" s="52">
        <f t="shared" si="22"/>
        <v>82.893113508771421</v>
      </c>
      <c r="AW13" s="58">
        <f t="shared" si="23"/>
        <v>2.6422738372019704E-2</v>
      </c>
      <c r="AX13" s="279" t="s">
        <v>257</v>
      </c>
      <c r="AY13" s="280">
        <v>2855.9981899999998</v>
      </c>
      <c r="AZ13" s="280">
        <f t="shared" si="24"/>
        <v>128.99818999999979</v>
      </c>
      <c r="BA13" s="280">
        <f t="shared" si="25"/>
        <v>211.89130350877122</v>
      </c>
      <c r="BB13" s="280">
        <f t="shared" si="26"/>
        <v>3349.0798999999997</v>
      </c>
      <c r="BC13" s="58">
        <f t="shared" si="27"/>
        <v>6.7541780480064206E-2</v>
      </c>
      <c r="BD13" s="291">
        <v>57.968000000000004</v>
      </c>
      <c r="BE13" s="51">
        <f t="shared" si="5"/>
        <v>2.0296931630758495E-2</v>
      </c>
      <c r="BF13" s="50">
        <v>99</v>
      </c>
      <c r="BI13" s="219">
        <v>2728</v>
      </c>
      <c r="BJ13" s="280">
        <f t="shared" si="28"/>
        <v>-127.99818999999979</v>
      </c>
      <c r="BK13" s="65">
        <f t="shared" si="29"/>
        <v>3077</v>
      </c>
      <c r="BL13" s="561">
        <f>'FY 2013 by Agency'!AS13*Inflator!$E$13</f>
        <v>3338.9800581568511</v>
      </c>
      <c r="BM13" s="52">
        <f t="shared" si="30"/>
        <v>201.79146166562259</v>
      </c>
      <c r="BN13" s="51">
        <f t="shared" si="31"/>
        <v>6.432238785112096E-2</v>
      </c>
      <c r="BO13" s="52">
        <f>'FY 2013 by Agency'!AX13*Inflator!$E$13</f>
        <v>2828.7287152883741</v>
      </c>
      <c r="BP13" s="52">
        <f t="shared" si="32"/>
        <v>-308.45988120285438</v>
      </c>
      <c r="BQ13" s="51">
        <f t="shared" si="33"/>
        <v>-9.8323665191136306E-2</v>
      </c>
      <c r="BR13" s="52">
        <f>'FY 2013 by Agency'!BE13*Inflator!$E$14</f>
        <v>2947.50373245745</v>
      </c>
      <c r="BS13" s="52">
        <f t="shared" si="34"/>
        <v>118.77501716907591</v>
      </c>
      <c r="BT13" s="51">
        <f t="shared" si="35"/>
        <v>4.1988832837569372E-2</v>
      </c>
      <c r="BU13" s="52">
        <f>'FY 2013 by Agency'!BL13*Inflator!$E$14</f>
        <v>3212.322484323679</v>
      </c>
      <c r="BV13" s="10">
        <f t="shared" si="36"/>
        <v>-126.65757383317214</v>
      </c>
      <c r="BW13" s="487">
        <v>3246</v>
      </c>
      <c r="BX13" s="39">
        <f>'FY 2013 by Agency'!BW13*Inflator!E15</f>
        <v>3503.7919999999999</v>
      </c>
      <c r="BY13" s="681">
        <v>3246</v>
      </c>
      <c r="BZ13" s="39">
        <f t="shared" si="37"/>
        <v>298.49626754254996</v>
      </c>
      <c r="CA13" s="51">
        <f t="shared" si="38"/>
        <v>0.10127087007746784</v>
      </c>
      <c r="CC13" s="39"/>
    </row>
    <row r="14" spans="1:81" ht="19.5" customHeight="1">
      <c r="A14" s="59" t="s">
        <v>160</v>
      </c>
      <c r="B14" s="322">
        <f>'FY 2013 by Agency'!B14*Inflator!$E$2</f>
        <v>0</v>
      </c>
      <c r="C14" s="322">
        <f>'FY 2013 by Agency'!C14*Inflator!$E$3</f>
        <v>723.45363214837721</v>
      </c>
      <c r="D14" s="322">
        <f t="shared" si="6"/>
        <v>723.45363214837721</v>
      </c>
      <c r="E14" s="351" t="e">
        <f t="shared" si="7"/>
        <v>#DIV/0!</v>
      </c>
      <c r="F14" s="10">
        <f>'FY 2013 by Agency'!F14*Inflator!$E$4</f>
        <v>2392.9577464788731</v>
      </c>
      <c r="G14" s="10">
        <f t="shared" si="8"/>
        <v>1669.5041143304959</v>
      </c>
      <c r="H14" s="14">
        <f t="shared" si="9"/>
        <v>2.3076864088341296</v>
      </c>
      <c r="I14" s="10">
        <f>'FY 2013 by Agency'!I14*Inflator!$E$5</f>
        <v>2788.9126069170702</v>
      </c>
      <c r="J14" s="10">
        <f t="shared" si="10"/>
        <v>395.9548604381971</v>
      </c>
      <c r="K14" s="14">
        <f t="shared" si="11"/>
        <v>0.16546671625139492</v>
      </c>
      <c r="L14" s="10">
        <f>'FY 2013 by Agency'!L14*Inflator!$E$6</f>
        <v>2822.4027626317697</v>
      </c>
      <c r="M14" s="10">
        <f t="shared" si="12"/>
        <v>33.49015571469954</v>
      </c>
      <c r="N14" s="14">
        <f t="shared" si="13"/>
        <v>1.2008320243394198E-2</v>
      </c>
      <c r="O14" s="10">
        <f>'FY 2013 by Agency'!O14*Inflator!$E$7</f>
        <v>431.77683914114743</v>
      </c>
      <c r="P14" s="52">
        <f t="shared" si="14"/>
        <v>-2390.6259234906224</v>
      </c>
      <c r="Q14" s="58">
        <f t="shared" si="0"/>
        <v>-0.84701799301722125</v>
      </c>
      <c r="R14" s="52">
        <f>'FY 2013 by Agency'!R14*Inflator!$E$8</f>
        <v>378.3245078071962</v>
      </c>
      <c r="S14" s="52">
        <f t="shared" si="1"/>
        <v>-53.452331333951236</v>
      </c>
      <c r="T14" s="58">
        <f t="shared" si="2"/>
        <v>-0.12379619861100914</v>
      </c>
      <c r="U14" s="52">
        <f>'FY 2013 by Agency'!U14*Inflator!$E$9</f>
        <v>277.15782493368698</v>
      </c>
      <c r="V14" s="52">
        <f t="shared" si="15"/>
        <v>-101.16668287350922</v>
      </c>
      <c r="W14" s="58">
        <f t="shared" si="16"/>
        <v>-0.2674071618037136</v>
      </c>
      <c r="X14" s="52">
        <f>'FY 2013 by Agency'!X14*Inflator!$E$10</f>
        <v>0</v>
      </c>
      <c r="Y14" s="39">
        <f t="shared" si="17"/>
        <v>-277.15782493368698</v>
      </c>
      <c r="Z14" s="58">
        <f t="shared" si="39"/>
        <v>-1</v>
      </c>
      <c r="AA14" s="52">
        <f>'FY 2013 by Agency'!AA14*Inflator!$E$11</f>
        <v>0</v>
      </c>
      <c r="AB14" s="39">
        <f t="shared" si="3"/>
        <v>0</v>
      </c>
      <c r="AC14" s="58" t="e">
        <f t="shared" si="4"/>
        <v>#DIV/0!</v>
      </c>
      <c r="AD14" s="52" t="e">
        <f>'FY 2013 by Agency'!AD14*Inflator!#REF!</f>
        <v>#REF!</v>
      </c>
      <c r="AE14" s="52">
        <f>'FY 2013 by Agency'!AE14*Inflator!$B$8</f>
        <v>0</v>
      </c>
      <c r="AF14" s="52">
        <f>'FY 2013 by Agency'!AF14*Inflator!$E$12</f>
        <v>0</v>
      </c>
      <c r="AG14" s="52">
        <f t="shared" si="18"/>
        <v>0</v>
      </c>
      <c r="AH14" s="58" t="e">
        <f t="shared" si="19"/>
        <v>#DIV/0!</v>
      </c>
      <c r="AI14" s="52">
        <f>'FY 2013 by Agency'!AI14*Inflator!$B$8</f>
        <v>0</v>
      </c>
      <c r="AJ14" s="52">
        <f>'FY 2013 by Agency'!AJ14*Inflator!$B$8</f>
        <v>0</v>
      </c>
      <c r="AK14" s="52">
        <f>'FY 2013 by Agency'!AK14</f>
        <v>0</v>
      </c>
      <c r="AL14" s="52">
        <f>'FY 2013 by Agency'!AL14</f>
        <v>0</v>
      </c>
      <c r="AM14" s="52">
        <f>'FY 2013 by Agency'!AM14</f>
        <v>0</v>
      </c>
      <c r="AN14" s="52">
        <f>'FY 2013 by Agency'!AN14</f>
        <v>0</v>
      </c>
      <c r="AO14" s="52">
        <f>'FY 2013 by Agency'!AO14</f>
        <v>0</v>
      </c>
      <c r="AP14" s="52">
        <f>'FY 2013 by Agency'!AP14</f>
        <v>0</v>
      </c>
      <c r="AQ14" s="52">
        <f>'FY 2013 by Agency'!AQ14</f>
        <v>0</v>
      </c>
      <c r="AR14" s="52">
        <f>'FY 2013 by Agency'!AR14</f>
        <v>0</v>
      </c>
      <c r="AS14" s="52">
        <f>'FY 2013 by Agency'!AS14</f>
        <v>0</v>
      </c>
      <c r="AT14" s="52" t="e">
        <f t="shared" si="20"/>
        <v>#REF!</v>
      </c>
      <c r="AU14" s="58" t="e">
        <f t="shared" si="21"/>
        <v>#REF!</v>
      </c>
      <c r="AV14" s="52">
        <f t="shared" si="22"/>
        <v>0</v>
      </c>
      <c r="AW14" s="58" t="e">
        <f t="shared" si="23"/>
        <v>#DIV/0!</v>
      </c>
      <c r="AZ14" s="280">
        <f t="shared" si="24"/>
        <v>0</v>
      </c>
      <c r="BA14" s="280">
        <f t="shared" si="25"/>
        <v>0</v>
      </c>
      <c r="BB14" s="280">
        <f t="shared" si="26"/>
        <v>0</v>
      </c>
      <c r="BC14" s="58"/>
      <c r="BD14" s="291"/>
      <c r="BE14" s="51"/>
      <c r="BI14" s="65"/>
      <c r="BJ14" s="280">
        <f t="shared" si="28"/>
        <v>0</v>
      </c>
      <c r="BK14" s="65">
        <f t="shared" si="29"/>
        <v>0</v>
      </c>
      <c r="BL14" s="561">
        <f>'FY 2013 by Agency'!AS14*Inflator!$E$13</f>
        <v>0</v>
      </c>
      <c r="BM14" s="52">
        <f t="shared" si="30"/>
        <v>0</v>
      </c>
      <c r="BN14" s="51" t="e">
        <f t="shared" si="31"/>
        <v>#DIV/0!</v>
      </c>
      <c r="BO14" s="52">
        <f>'FY 2013 by Agency'!AX14*Inflator!$E$13</f>
        <v>0</v>
      </c>
      <c r="BP14" s="52">
        <f t="shared" si="32"/>
        <v>0</v>
      </c>
      <c r="BQ14" s="51" t="e">
        <f t="shared" si="33"/>
        <v>#DIV/0!</v>
      </c>
      <c r="BR14" s="52">
        <f>'FY 2013 by Agency'!BE14*Inflator!$E$14</f>
        <v>0</v>
      </c>
      <c r="BS14" s="52">
        <f t="shared" si="34"/>
        <v>0</v>
      </c>
      <c r="BT14" s="51" t="e">
        <f t="shared" si="35"/>
        <v>#DIV/0!</v>
      </c>
      <c r="BU14" s="52">
        <f>'FY 2013 by Agency'!BL14*Inflator!$E$14</f>
        <v>0</v>
      </c>
      <c r="BV14" s="10">
        <f t="shared" si="36"/>
        <v>0</v>
      </c>
      <c r="BW14" s="39">
        <v>0</v>
      </c>
      <c r="BX14" s="39">
        <f>'FY 2013 by Agency'!BW14*Inflator!E22</f>
        <v>0</v>
      </c>
      <c r="BY14" s="681">
        <v>0</v>
      </c>
      <c r="BZ14" s="39">
        <f t="shared" si="37"/>
        <v>0</v>
      </c>
      <c r="CA14" s="51" t="e">
        <f t="shared" si="38"/>
        <v>#DIV/0!</v>
      </c>
      <c r="CC14" s="39"/>
    </row>
    <row r="15" spans="1:81" ht="18" customHeight="1">
      <c r="A15" s="53" t="s">
        <v>206</v>
      </c>
      <c r="B15" s="322">
        <f>'FY 2013 by Agency'!B15*Inflator!$E$2</f>
        <v>3633.7464114832537</v>
      </c>
      <c r="C15" s="322">
        <f>'FY 2013 by Agency'!C15*Inflator!$E$3</f>
        <v>6293.1275115919634</v>
      </c>
      <c r="D15" s="322">
        <f t="shared" si="6"/>
        <v>2659.3811001087097</v>
      </c>
      <c r="E15" s="351">
        <f t="shared" si="7"/>
        <v>0.73185654664965483</v>
      </c>
      <c r="F15" s="10">
        <f>'FY 2013 by Agency'!F15*Inflator!$E$4</f>
        <v>7573.387894937191</v>
      </c>
      <c r="G15" s="10">
        <f t="shared" si="8"/>
        <v>1280.2603833452276</v>
      </c>
      <c r="H15" s="14">
        <f t="shared" si="9"/>
        <v>0.20343785836008937</v>
      </c>
      <c r="I15" s="10">
        <f>'FY 2013 by Agency'!I15*Inflator!$E$5</f>
        <v>8383.1654890293812</v>
      </c>
      <c r="J15" s="10">
        <f t="shared" si="10"/>
        <v>809.77759409219016</v>
      </c>
      <c r="K15" s="14">
        <f t="shared" si="11"/>
        <v>0.10692408804697913</v>
      </c>
      <c r="L15" s="10">
        <f>'FY 2013 by Agency'!L15*Inflator!$E$6</f>
        <v>8185.5856052344589</v>
      </c>
      <c r="M15" s="10">
        <f t="shared" si="12"/>
        <v>-197.57988379492235</v>
      </c>
      <c r="N15" s="14">
        <f t="shared" si="13"/>
        <v>-2.356864886581149E-2</v>
      </c>
      <c r="O15" s="10">
        <f>'FY 2013 by Agency'!O15*Inflator!$E$7</f>
        <v>13218.829989440335</v>
      </c>
      <c r="P15" s="52">
        <f t="shared" si="14"/>
        <v>5033.2443842058765</v>
      </c>
      <c r="Q15" s="58">
        <f t="shared" si="0"/>
        <v>0.6148911790730347</v>
      </c>
      <c r="R15" s="52">
        <f>'FY 2013 by Agency'!R15*Inflator!$E$8</f>
        <v>24481.517311608961</v>
      </c>
      <c r="S15" s="52">
        <f t="shared" si="1"/>
        <v>11262.687322168626</v>
      </c>
      <c r="T15" s="58">
        <f t="shared" si="2"/>
        <v>0.85201847146575416</v>
      </c>
      <c r="U15" s="52">
        <f>'FY 2013 by Agency'!U15*Inflator!$E$9</f>
        <v>19868.610742705569</v>
      </c>
      <c r="V15" s="52">
        <f t="shared" si="15"/>
        <v>-4612.9065689033923</v>
      </c>
      <c r="W15" s="58">
        <f t="shared" si="16"/>
        <v>-0.18842404701427493</v>
      </c>
      <c r="X15" s="52">
        <f>'FY 2013 by Agency'!X15*Inflator!$E$10</f>
        <v>7021.5261987932681</v>
      </c>
      <c r="Y15" s="39">
        <f t="shared" si="17"/>
        <v>-12847.0845439123</v>
      </c>
      <c r="Z15" s="58">
        <f t="shared" si="39"/>
        <v>-0.64660205538673077</v>
      </c>
      <c r="AA15" s="52">
        <f>'FY 2013 by Agency'!AA15*Inflator!$E$11</f>
        <v>6456.0917489646399</v>
      </c>
      <c r="AB15" s="39">
        <f t="shared" si="3"/>
        <v>-565.4344498286282</v>
      </c>
      <c r="AC15" s="58">
        <f t="shared" si="4"/>
        <v>-8.0528710399998898E-2</v>
      </c>
      <c r="AD15" s="52" t="e">
        <f>'FY 2013 by Agency'!AD15*Inflator!#REF!</f>
        <v>#REF!</v>
      </c>
      <c r="AE15" s="52">
        <f>'FY 2013 by Agency'!AE15*Inflator!$B$8</f>
        <v>0</v>
      </c>
      <c r="AF15" s="52">
        <f>'FY 2013 by Agency'!AF15*Inflator!$E$12</f>
        <v>5340.7788220551383</v>
      </c>
      <c r="AG15" s="52">
        <f t="shared" si="18"/>
        <v>-1115.3129269095016</v>
      </c>
      <c r="AH15" s="58">
        <f t="shared" si="19"/>
        <v>-0.1727535744962676</v>
      </c>
      <c r="AI15" s="52">
        <f>'FY 2013 by Agency'!AI15*Inflator!$B$8</f>
        <v>0</v>
      </c>
      <c r="AJ15" s="52">
        <f>'FY 2013 by Agency'!AJ15*Inflator!$B$8</f>
        <v>0</v>
      </c>
      <c r="AK15" s="52">
        <f>'FY 2013 by Agency'!AK15</f>
        <v>5438</v>
      </c>
      <c r="AL15" s="52">
        <f>'FY 2013 by Agency'!AL15</f>
        <v>0</v>
      </c>
      <c r="AM15" s="52">
        <f>'FY 2013 by Agency'!AM15</f>
        <v>5438</v>
      </c>
      <c r="AN15" s="52">
        <f>'FY 2013 by Agency'!AN15</f>
        <v>5105</v>
      </c>
      <c r="AO15" s="52">
        <f>'FY 2013 by Agency'!AO15</f>
        <v>5105</v>
      </c>
      <c r="AP15" s="52">
        <f>'FY 2013 by Agency'!AP15</f>
        <v>1</v>
      </c>
      <c r="AQ15" s="52">
        <f>'FY 2013 by Agency'!AQ15</f>
        <v>193</v>
      </c>
      <c r="AR15" s="52">
        <f>'FY 2013 by Agency'!AR15</f>
        <v>194</v>
      </c>
      <c r="AS15" s="52">
        <f>'FY 2013 by Agency'!AS15</f>
        <v>4205.7538000000004</v>
      </c>
      <c r="AT15" s="52" t="e">
        <f t="shared" si="20"/>
        <v>#REF!</v>
      </c>
      <c r="AU15" s="58" t="e">
        <f t="shared" si="21"/>
        <v>#REF!</v>
      </c>
      <c r="AV15" s="52">
        <f t="shared" si="22"/>
        <v>-1135.0250220551379</v>
      </c>
      <c r="AW15" s="58">
        <f t="shared" si="23"/>
        <v>-0.21252050681596638</v>
      </c>
      <c r="AX15" s="279" t="s">
        <v>258</v>
      </c>
      <c r="AY15" s="280">
        <v>5105</v>
      </c>
      <c r="AZ15" s="280">
        <f t="shared" si="24"/>
        <v>0</v>
      </c>
      <c r="BA15" s="280">
        <f t="shared" si="25"/>
        <v>-1135.0250220551379</v>
      </c>
      <c r="BB15" s="280">
        <f t="shared" si="26"/>
        <v>4205.7538000000004</v>
      </c>
      <c r="BC15" s="58">
        <f t="shared" si="27"/>
        <v>-0.21252050681596635</v>
      </c>
      <c r="BD15" s="291">
        <v>15.884</v>
      </c>
      <c r="BE15" s="51">
        <f t="shared" si="5"/>
        <v>3.1114593535749267E-3</v>
      </c>
      <c r="BI15" s="219">
        <v>3436</v>
      </c>
      <c r="BJ15" s="280">
        <f t="shared" si="28"/>
        <v>-1669</v>
      </c>
      <c r="BK15" s="65">
        <f t="shared" si="29"/>
        <v>3630</v>
      </c>
      <c r="BL15" s="561">
        <f>'FY 2013 by Agency'!AS15*Inflator!$E$13</f>
        <v>4361.0471200488264</v>
      </c>
      <c r="BM15" s="52">
        <f t="shared" si="30"/>
        <v>-979.73170200631193</v>
      </c>
      <c r="BN15" s="51">
        <f t="shared" si="31"/>
        <v>-0.18344360151377884</v>
      </c>
      <c r="BO15" s="52">
        <f>'FY 2013 by Agency'!AX15*Inflator!$E$13</f>
        <v>3562.87091852304</v>
      </c>
      <c r="BP15" s="52">
        <f t="shared" si="32"/>
        <v>-1777.9079035320983</v>
      </c>
      <c r="BQ15" s="51">
        <f t="shared" si="33"/>
        <v>-0.33289300358031998</v>
      </c>
      <c r="BR15" s="52">
        <f>'FY 2013 by Agency'!BE15*Inflator!$E$14</f>
        <v>3331.0343386085401</v>
      </c>
      <c r="BS15" s="52">
        <f t="shared" si="34"/>
        <v>-231.83657991449991</v>
      </c>
      <c r="BT15" s="51">
        <f t="shared" si="35"/>
        <v>-6.5070159771773578E-2</v>
      </c>
      <c r="BU15" s="52">
        <f>'FY 2013 by Agency'!BL15*Inflator!$E$14</f>
        <v>3413.2194684980595</v>
      </c>
      <c r="BV15" s="10">
        <f t="shared" si="36"/>
        <v>-947.82765155076686</v>
      </c>
      <c r="BW15" s="487">
        <v>3351</v>
      </c>
      <c r="BX15" s="39">
        <f>'FY 2013 by Agency'!BW15*Inflator!E15</f>
        <v>3408.317</v>
      </c>
      <c r="BY15" s="681">
        <v>3401</v>
      </c>
      <c r="BZ15" s="39">
        <f t="shared" si="37"/>
        <v>19.965661391459889</v>
      </c>
      <c r="CA15" s="51">
        <f t="shared" si="38"/>
        <v>5.993832354126997E-3</v>
      </c>
      <c r="CC15" s="39"/>
    </row>
    <row r="16" spans="1:81" ht="18" customHeight="1">
      <c r="A16" s="53" t="s">
        <v>207</v>
      </c>
      <c r="B16" s="325" t="s">
        <v>78</v>
      </c>
      <c r="C16" s="325" t="s">
        <v>78</v>
      </c>
      <c r="D16" s="325" t="s">
        <v>78</v>
      </c>
      <c r="E16" s="325" t="s">
        <v>78</v>
      </c>
      <c r="F16" s="325" t="s">
        <v>78</v>
      </c>
      <c r="G16" s="325" t="s">
        <v>78</v>
      </c>
      <c r="H16" s="325" t="s">
        <v>78</v>
      </c>
      <c r="I16" s="325" t="s">
        <v>78</v>
      </c>
      <c r="J16" s="325" t="s">
        <v>78</v>
      </c>
      <c r="K16" s="325" t="s">
        <v>78</v>
      </c>
      <c r="L16" s="10">
        <f>'FY 2013 by Agency'!L16*Inflator!$E$6</f>
        <v>2224.5721555797891</v>
      </c>
      <c r="M16" s="325" t="s">
        <v>78</v>
      </c>
      <c r="N16" s="325" t="s">
        <v>78</v>
      </c>
      <c r="O16" s="10">
        <f>'FY 2013 by Agency'!O16*Inflator!$E$7</f>
        <v>1504.6406195001757</v>
      </c>
      <c r="P16" s="52">
        <f t="shared" si="14"/>
        <v>-719.93153607961335</v>
      </c>
      <c r="Q16" s="58">
        <f t="shared" si="0"/>
        <v>-0.32362696542516867</v>
      </c>
      <c r="R16" s="52">
        <f>'FY 2013 by Agency'!R16*Inflator!$E$8</f>
        <v>1884.701968771215</v>
      </c>
      <c r="S16" s="52">
        <f t="shared" si="1"/>
        <v>380.06134927103926</v>
      </c>
      <c r="T16" s="58">
        <f t="shared" si="2"/>
        <v>0.25259277487623011</v>
      </c>
      <c r="U16" s="52">
        <f>'FY 2013 by Agency'!U16*Inflator!$E$9</f>
        <v>1746.3196286472148</v>
      </c>
      <c r="V16" s="52">
        <f t="shared" si="15"/>
        <v>-138.38234012400017</v>
      </c>
      <c r="W16" s="58">
        <f t="shared" si="16"/>
        <v>-7.3423990857409915E-2</v>
      </c>
      <c r="X16" s="52">
        <f>'FY 2013 by Agency'!X16*Inflator!$E$10</f>
        <v>1942.3308986979996</v>
      </c>
      <c r="Y16" s="39">
        <f t="shared" si="17"/>
        <v>196.01127005078479</v>
      </c>
      <c r="Z16" s="58">
        <f t="shared" si="39"/>
        <v>0.11224249377682639</v>
      </c>
      <c r="AA16" s="52">
        <f>'FY 2013 by Agency'!AA16*Inflator!$E$11</f>
        <v>1602.115323351386</v>
      </c>
      <c r="AB16" s="39">
        <f t="shared" si="3"/>
        <v>-340.2155753466136</v>
      </c>
      <c r="AC16" s="58">
        <f t="shared" si="4"/>
        <v>-0.17515840147251424</v>
      </c>
      <c r="AD16" s="52" t="e">
        <f>'FY 2013 by Agency'!AD16*Inflator!#REF!</f>
        <v>#REF!</v>
      </c>
      <c r="AE16" s="52">
        <f>'FY 2013 by Agency'!AE16*Inflator!$B$8</f>
        <v>0</v>
      </c>
      <c r="AF16" s="52">
        <f>'FY 2013 by Agency'!AF16*Inflator!$E$12</f>
        <v>1081.5689223057645</v>
      </c>
      <c r="AG16" s="52">
        <f t="shared" si="18"/>
        <v>-520.54640104562145</v>
      </c>
      <c r="AH16" s="58">
        <f t="shared" si="19"/>
        <v>-0.32491194201720519</v>
      </c>
      <c r="AI16" s="52">
        <f>'FY 2013 by Agency'!AI16*Inflator!$B$8</f>
        <v>0</v>
      </c>
      <c r="AJ16" s="52">
        <f>'FY 2013 by Agency'!AJ16*Inflator!$B$8</f>
        <v>0</v>
      </c>
      <c r="AK16" s="52">
        <f>'FY 2013 by Agency'!AK16</f>
        <v>1062</v>
      </c>
      <c r="AL16" s="52">
        <f>'FY 2013 by Agency'!AL16</f>
        <v>0</v>
      </c>
      <c r="AM16" s="52">
        <f>'FY 2013 by Agency'!AM16</f>
        <v>1062</v>
      </c>
      <c r="AN16" s="52">
        <f>'FY 2013 by Agency'!AN16</f>
        <v>922</v>
      </c>
      <c r="AO16" s="52">
        <f>'FY 2013 by Agency'!AO16</f>
        <v>922</v>
      </c>
      <c r="AP16" s="52">
        <f>'FY 2013 by Agency'!AP16</f>
        <v>131</v>
      </c>
      <c r="AQ16" s="52">
        <f>'FY 2013 by Agency'!AQ16</f>
        <v>20</v>
      </c>
      <c r="AR16" s="52">
        <f>'FY 2013 by Agency'!AR16</f>
        <v>151</v>
      </c>
      <c r="AS16" s="52">
        <f>'FY 2013 by Agency'!AS16</f>
        <v>872.94608000000005</v>
      </c>
      <c r="AT16" s="52" t="e">
        <f t="shared" si="20"/>
        <v>#REF!</v>
      </c>
      <c r="AU16" s="58" t="e">
        <f t="shared" si="21"/>
        <v>#REF!</v>
      </c>
      <c r="AV16" s="52">
        <f t="shared" si="22"/>
        <v>-208.62284230576449</v>
      </c>
      <c r="AW16" s="58">
        <f t="shared" si="23"/>
        <v>-0.19288908732788632</v>
      </c>
      <c r="AX16" s="279" t="s">
        <v>259</v>
      </c>
      <c r="AY16" s="280">
        <v>783.35514000000001</v>
      </c>
      <c r="AZ16" s="280">
        <f t="shared" si="24"/>
        <v>-138.64485999999999</v>
      </c>
      <c r="BA16" s="280">
        <f t="shared" si="25"/>
        <v>-347.26770230576449</v>
      </c>
      <c r="BB16" s="280">
        <f t="shared" si="26"/>
        <v>734.30122000000006</v>
      </c>
      <c r="BC16" s="58">
        <f t="shared" si="27"/>
        <v>-0.32107773729799371</v>
      </c>
      <c r="BD16" s="291">
        <v>4.367</v>
      </c>
      <c r="BE16" s="51">
        <f t="shared" si="5"/>
        <v>5.5747384257924188E-3</v>
      </c>
      <c r="BI16" s="219">
        <v>771</v>
      </c>
      <c r="BJ16" s="280">
        <f t="shared" si="28"/>
        <v>-12.355140000000006</v>
      </c>
      <c r="BK16" s="65">
        <f t="shared" si="29"/>
        <v>922</v>
      </c>
      <c r="BL16" s="561">
        <f>'FY 2013 by Agency'!AS16*Inflator!$E$13</f>
        <v>905.17875490997881</v>
      </c>
      <c r="BM16" s="52">
        <f t="shared" si="30"/>
        <v>-176.39016739578574</v>
      </c>
      <c r="BN16" s="51">
        <f t="shared" si="31"/>
        <v>-0.16308731118100619</v>
      </c>
      <c r="BO16" s="52">
        <f>'FY 2013 by Agency'!AX16*Inflator!$E$13</f>
        <v>799.4684162343608</v>
      </c>
      <c r="BP16" s="52">
        <f t="shared" si="32"/>
        <v>-282.10050607140374</v>
      </c>
      <c r="BQ16" s="51">
        <f t="shared" si="33"/>
        <v>-0.26082526989588611</v>
      </c>
      <c r="BR16" s="52">
        <f>'FY 2013 by Agency'!BE16*Inflator!$E$14</f>
        <v>2767.9140041803525</v>
      </c>
      <c r="BS16" s="52">
        <f t="shared" si="34"/>
        <v>1968.4455879459917</v>
      </c>
      <c r="BT16" s="51">
        <f t="shared" si="35"/>
        <v>2.4621930622571964</v>
      </c>
      <c r="BU16" s="52">
        <f>'FY 2013 by Agency'!BL16*Inflator!$E$14</f>
        <v>2893.7282770976412</v>
      </c>
      <c r="BV16" s="10">
        <f t="shared" si="36"/>
        <v>1988.5495221876624</v>
      </c>
      <c r="BW16" s="487">
        <v>2962</v>
      </c>
      <c r="BX16" s="39">
        <f>'FY 2013 by Agency'!BW16*Inflator!E15</f>
        <v>3111.848</v>
      </c>
      <c r="BY16" s="681">
        <v>2962</v>
      </c>
      <c r="BZ16" s="39">
        <f t="shared" si="37"/>
        <v>194.08599581964745</v>
      </c>
      <c r="CA16" s="51">
        <f t="shared" si="38"/>
        <v>7.0119951532642028E-2</v>
      </c>
      <c r="CC16" s="39"/>
    </row>
    <row r="17" spans="1:81" ht="18" customHeight="1">
      <c r="A17" s="312" t="s">
        <v>369</v>
      </c>
      <c r="B17" s="322">
        <f>'FY 2013 by Agency'!B17*Inflator!$E$2</f>
        <v>14994.284688995216</v>
      </c>
      <c r="C17" s="322">
        <f>'FY 2013 by Agency'!C17*Inflator!$E$3</f>
        <v>13276.884080370945</v>
      </c>
      <c r="D17" s="322">
        <f t="shared" si="6"/>
        <v>-1717.4006086242716</v>
      </c>
      <c r="E17" s="351">
        <f t="shared" si="7"/>
        <v>-0.11453701488572687</v>
      </c>
      <c r="F17" s="10">
        <f>'FY 2013 by Agency'!F18*Inflator!$E$4</f>
        <v>23888.185763228015</v>
      </c>
      <c r="G17" s="10">
        <f t="shared" si="8"/>
        <v>10611.301682857071</v>
      </c>
      <c r="H17" s="14">
        <f t="shared" si="9"/>
        <v>0.7992313270660566</v>
      </c>
      <c r="I17" s="10">
        <f>'FY 2013 by Agency'!I18*Inflator!$E$5</f>
        <v>14317.344737820753</v>
      </c>
      <c r="J17" s="10">
        <f t="shared" si="10"/>
        <v>-9570.8410254072624</v>
      </c>
      <c r="K17" s="14">
        <f t="shared" si="11"/>
        <v>-0.40065164932449659</v>
      </c>
      <c r="L17" s="10">
        <f>'FY 2013 by Agency'!L17*Inflator!$E$6</f>
        <v>0</v>
      </c>
      <c r="M17" s="10">
        <f t="shared" si="12"/>
        <v>-14317.344737820753</v>
      </c>
      <c r="N17" s="14">
        <f t="shared" si="13"/>
        <v>-1</v>
      </c>
      <c r="O17" s="10">
        <f>'FY 2013 by Agency'!O17*Inflator!$E$7</f>
        <v>0</v>
      </c>
      <c r="P17" s="52"/>
      <c r="Q17" s="58"/>
      <c r="R17" s="52">
        <f>'FY 2013 by Agency'!R17*Inflator!$E$8</f>
        <v>0</v>
      </c>
      <c r="S17" s="52"/>
      <c r="T17" s="58"/>
      <c r="U17" s="52">
        <f>'FY 2013 by Agency'!U17*Inflator!$E$9</f>
        <v>0</v>
      </c>
      <c r="V17" s="52"/>
      <c r="W17" s="58"/>
      <c r="X17" s="52">
        <f>'FY 2013 by Agency'!X17*Inflator!$E$10</f>
        <v>0</v>
      </c>
      <c r="Y17" s="39"/>
      <c r="Z17" s="58"/>
      <c r="AA17" s="52">
        <f>'FY 2013 by Agency'!AA17*Inflator!$E$11</f>
        <v>0</v>
      </c>
      <c r="AB17" s="39"/>
      <c r="AC17" s="58"/>
      <c r="AD17" s="52" t="e">
        <f>'FY 2013 by Agency'!AD17*Inflator!#REF!</f>
        <v>#REF!</v>
      </c>
      <c r="AE17" s="52"/>
      <c r="AF17" s="52">
        <f>'FY 2013 by Agency'!AF17*Inflator!$E$12</f>
        <v>0</v>
      </c>
      <c r="AG17" s="52"/>
      <c r="AH17" s="58"/>
      <c r="AI17" s="52"/>
      <c r="AJ17" s="52"/>
      <c r="AK17" s="52"/>
      <c r="AL17" s="52"/>
      <c r="AM17" s="52"/>
      <c r="AO17" s="52"/>
      <c r="AU17" s="58"/>
      <c r="AV17" s="52"/>
      <c r="AW17" s="58"/>
      <c r="AX17" s="279"/>
      <c r="AY17" s="280"/>
      <c r="AZ17" s="280"/>
      <c r="BA17" s="280"/>
      <c r="BB17" s="280"/>
      <c r="BC17" s="58"/>
      <c r="BD17" s="291"/>
      <c r="BE17" s="51"/>
      <c r="BI17" s="219"/>
      <c r="BJ17" s="280"/>
      <c r="BK17" s="65">
        <f t="shared" si="29"/>
        <v>0</v>
      </c>
      <c r="BL17" s="561">
        <f>'FY 2013 by Agency'!AS17*Inflator!$E$13</f>
        <v>0</v>
      </c>
      <c r="BM17" s="52">
        <f t="shared" si="30"/>
        <v>0</v>
      </c>
      <c r="BN17" s="51" t="e">
        <f t="shared" si="31"/>
        <v>#DIV/0!</v>
      </c>
      <c r="BO17" s="52">
        <f>'FY 2013 by Agency'!AX17*Inflator!$E$13</f>
        <v>0</v>
      </c>
      <c r="BP17" s="52">
        <f t="shared" si="32"/>
        <v>0</v>
      </c>
      <c r="BQ17" s="51" t="e">
        <f t="shared" si="33"/>
        <v>#DIV/0!</v>
      </c>
      <c r="BR17" s="52">
        <f>'FY 2013 by Agency'!BE17*Inflator!$E$14</f>
        <v>0</v>
      </c>
      <c r="BS17" s="52">
        <f t="shared" si="34"/>
        <v>0</v>
      </c>
      <c r="BT17" s="51" t="e">
        <f t="shared" si="35"/>
        <v>#DIV/0!</v>
      </c>
      <c r="BU17" s="52">
        <f>'FY 2013 by Agency'!BL17*Inflator!$E$14</f>
        <v>0</v>
      </c>
      <c r="BV17" s="10">
        <f t="shared" si="36"/>
        <v>0</v>
      </c>
      <c r="BW17" s="39">
        <v>0</v>
      </c>
      <c r="BX17" s="39">
        <f>'FY 2013 by Agency'!BW17*Inflator!E15</f>
        <v>0</v>
      </c>
      <c r="BY17" s="681">
        <v>0</v>
      </c>
      <c r="BZ17" s="39">
        <f t="shared" si="37"/>
        <v>0</v>
      </c>
      <c r="CA17" s="51" t="e">
        <f t="shared" si="38"/>
        <v>#DIV/0!</v>
      </c>
      <c r="CC17" s="39"/>
    </row>
    <row r="18" spans="1:81" ht="15.75" customHeight="1">
      <c r="A18" s="53" t="s">
        <v>208</v>
      </c>
      <c r="B18" s="325" t="s">
        <v>78</v>
      </c>
      <c r="C18" s="325" t="s">
        <v>78</v>
      </c>
      <c r="D18" s="325" t="s">
        <v>78</v>
      </c>
      <c r="E18" s="325" t="s">
        <v>78</v>
      </c>
      <c r="F18" s="325" t="s">
        <v>78</v>
      </c>
      <c r="G18" s="325" t="s">
        <v>78</v>
      </c>
      <c r="H18" s="325" t="s">
        <v>78</v>
      </c>
      <c r="I18" s="325" t="s">
        <v>78</v>
      </c>
      <c r="J18" s="325" t="s">
        <v>78</v>
      </c>
      <c r="K18" s="325" t="s">
        <v>78</v>
      </c>
      <c r="L18" s="10">
        <f>'FY 2013 by Agency'!L18*Inflator!$E$6</f>
        <v>11691.046892039258</v>
      </c>
      <c r="M18" s="325" t="s">
        <v>78</v>
      </c>
      <c r="N18" s="325" t="s">
        <v>78</v>
      </c>
      <c r="O18" s="10">
        <f>'FY 2013 by Agency'!O18*Inflator!$E$7</f>
        <v>13505.883843717</v>
      </c>
      <c r="P18" s="52">
        <f t="shared" si="14"/>
        <v>1814.836951677742</v>
      </c>
      <c r="Q18" s="58">
        <f t="shared" si="0"/>
        <v>0.15523305726482992</v>
      </c>
      <c r="R18" s="52">
        <f>'FY 2013 by Agency'!R18*Inflator!$E$8</f>
        <v>12415.503054989817</v>
      </c>
      <c r="S18" s="52">
        <f t="shared" si="1"/>
        <v>-1090.3807887271832</v>
      </c>
      <c r="T18" s="58">
        <f t="shared" si="2"/>
        <v>-8.0733760288811712E-2</v>
      </c>
      <c r="U18" s="52">
        <f>'FY 2013 by Agency'!U18*Inflator!$E$9</f>
        <v>12654.620689655172</v>
      </c>
      <c r="V18" s="52">
        <f t="shared" si="15"/>
        <v>239.11763466535558</v>
      </c>
      <c r="W18" s="58">
        <f t="shared" si="16"/>
        <v>1.9259600968746387E-2</v>
      </c>
      <c r="X18" s="52">
        <f>'FY 2013 by Agency'!X18*Inflator!$E$10</f>
        <v>9585.4029850746283</v>
      </c>
      <c r="Y18" s="39">
        <f t="shared" si="17"/>
        <v>-3069.2177045805438</v>
      </c>
      <c r="Z18" s="58">
        <f t="shared" si="39"/>
        <v>-0.24253731343283569</v>
      </c>
      <c r="AA18" s="52">
        <f>'FY 2013 by Agency'!AA18*Inflator!$E$11</f>
        <v>10473.287671232878</v>
      </c>
      <c r="AB18" s="39">
        <f t="shared" si="3"/>
        <v>887.88468615824968</v>
      </c>
      <c r="AC18" s="58">
        <f t="shared" si="4"/>
        <v>9.2628832354859719E-2</v>
      </c>
      <c r="AD18" s="52" t="e">
        <f>'FY 2013 by Agency'!AD18*Inflator!#REF!</f>
        <v>#REF!</v>
      </c>
      <c r="AE18" s="52">
        <f>'FY 2013 by Agency'!AE18*Inflator!$B$8</f>
        <v>0</v>
      </c>
      <c r="AF18" s="52">
        <f>'FY 2013 by Agency'!AF18*Inflator!$E$12</f>
        <v>5763.3997493734341</v>
      </c>
      <c r="AG18" s="52">
        <f t="shared" si="18"/>
        <v>-4709.8879218594438</v>
      </c>
      <c r="AH18" s="58">
        <f t="shared" si="19"/>
        <v>-0.44970481759955444</v>
      </c>
      <c r="AI18" s="52">
        <f>'FY 2013 by Agency'!AI18*Inflator!$B$8</f>
        <v>0</v>
      </c>
      <c r="AJ18" s="52">
        <f>'FY 2013 by Agency'!AJ18*Inflator!$B$8</f>
        <v>0</v>
      </c>
      <c r="AK18" s="52">
        <f>'FY 2013 by Agency'!AK18</f>
        <v>5579</v>
      </c>
      <c r="AL18" s="52">
        <f>'FY 2013 by Agency'!AL18</f>
        <v>0</v>
      </c>
      <c r="AM18" s="52">
        <f>'FY 2013 by Agency'!AM18</f>
        <v>5579</v>
      </c>
      <c r="AN18" s="52">
        <f>'FY 2013 by Agency'!AN18</f>
        <v>8981</v>
      </c>
      <c r="AO18" s="52">
        <f>'FY 2013 by Agency'!AO18</f>
        <v>9258</v>
      </c>
      <c r="AP18" s="52">
        <f>'FY 2013 by Agency'!AP18</f>
        <v>601</v>
      </c>
      <c r="AQ18" s="52">
        <f>'FY 2013 by Agency'!AQ18</f>
        <v>77</v>
      </c>
      <c r="AR18" s="52">
        <f>'FY 2013 by Agency'!AR18</f>
        <v>678</v>
      </c>
      <c r="AS18" s="52">
        <f>'FY 2013 by Agency'!AS18</f>
        <v>8998.8401400000002</v>
      </c>
      <c r="AT18" s="52" t="e">
        <f t="shared" si="20"/>
        <v>#REF!</v>
      </c>
      <c r="AU18" s="58" t="e">
        <f t="shared" si="21"/>
        <v>#REF!</v>
      </c>
      <c r="AV18" s="52">
        <f t="shared" si="22"/>
        <v>3235.4403906265661</v>
      </c>
      <c r="AW18" s="58">
        <f t="shared" si="23"/>
        <v>0.56137705717503039</v>
      </c>
      <c r="AX18" s="279" t="s">
        <v>260</v>
      </c>
      <c r="AY18" s="280">
        <v>8466.0767999999989</v>
      </c>
      <c r="AZ18" s="280">
        <f t="shared" si="24"/>
        <v>-791.92320000000109</v>
      </c>
      <c r="BA18" s="280">
        <f t="shared" si="25"/>
        <v>2443.517190626565</v>
      </c>
      <c r="BB18" s="280">
        <f t="shared" si="26"/>
        <v>8206.9169399999992</v>
      </c>
      <c r="BC18" s="58">
        <f t="shared" si="27"/>
        <v>0.42397149198131046</v>
      </c>
      <c r="BD18" s="291">
        <v>81.111000000000004</v>
      </c>
      <c r="BE18" s="51">
        <f t="shared" si="5"/>
        <v>9.5807068511355835E-3</v>
      </c>
      <c r="BF18" s="50">
        <v>209</v>
      </c>
      <c r="BI18" s="219">
        <v>8138</v>
      </c>
      <c r="BJ18" s="280">
        <f t="shared" si="28"/>
        <v>-328.07679999999891</v>
      </c>
      <c r="BK18" s="65">
        <f t="shared" si="29"/>
        <v>8816</v>
      </c>
      <c r="BL18" s="561">
        <f>'FY 2013 by Agency'!AS18*Inflator!$E$13</f>
        <v>9331.1134561245053</v>
      </c>
      <c r="BM18" s="52">
        <f t="shared" si="30"/>
        <v>3567.7137067510712</v>
      </c>
      <c r="BN18" s="51">
        <f t="shared" si="31"/>
        <v>0.61902936841036127</v>
      </c>
      <c r="BO18" s="52">
        <f>'FY 2013 by Agency'!AX18*Inflator!$E$13</f>
        <v>8438.4876411351852</v>
      </c>
      <c r="BP18" s="52">
        <f t="shared" si="32"/>
        <v>2675.0878917617511</v>
      </c>
      <c r="BQ18" s="51">
        <f t="shared" si="33"/>
        <v>0.46415102336994274</v>
      </c>
      <c r="BR18" s="52">
        <f>'FY 2013 by Agency'!BE18*Inflator!$E$14</f>
        <v>7657.4219169901471</v>
      </c>
      <c r="BS18" s="52">
        <f t="shared" si="34"/>
        <v>-781.06572414503808</v>
      </c>
      <c r="BT18" s="51">
        <f t="shared" si="35"/>
        <v>-9.255991800445007E-2</v>
      </c>
      <c r="BU18" s="52">
        <f>'FY 2013 by Agency'!BL18*Inflator!$E$14</f>
        <v>8313.8883248730963</v>
      </c>
      <c r="BV18" s="10">
        <f t="shared" si="36"/>
        <v>-1017.225131251409</v>
      </c>
      <c r="BW18" s="487">
        <v>7814</v>
      </c>
      <c r="BX18" s="39">
        <f>'FY 2013 by Agency'!BW18*Inflator!E15</f>
        <v>8728.8649999999998</v>
      </c>
      <c r="BY18" s="681">
        <v>7814</v>
      </c>
      <c r="BZ18" s="39">
        <f t="shared" si="37"/>
        <v>156.57808300985289</v>
      </c>
      <c r="CA18" s="51">
        <f t="shared" si="38"/>
        <v>2.0447885033269528E-2</v>
      </c>
      <c r="CC18" s="39"/>
    </row>
    <row r="19" spans="1:81" ht="18" customHeight="1">
      <c r="A19" s="53" t="s">
        <v>199</v>
      </c>
      <c r="B19" s="322" t="e">
        <f>'FY 2013 by Agency'!B19*Inflator!#REF!</f>
        <v>#REF!</v>
      </c>
      <c r="C19" s="322" t="e">
        <f>'FY 2013 by Agency'!C19*Inflator!#REF!</f>
        <v>#REF!</v>
      </c>
      <c r="D19" s="322" t="e">
        <f t="shared" si="6"/>
        <v>#REF!</v>
      </c>
      <c r="E19" s="351" t="e">
        <f t="shared" si="7"/>
        <v>#REF!</v>
      </c>
      <c r="F19" s="10" t="e">
        <f>'FY 2013 by Agency'!F19*Inflator!#REF!</f>
        <v>#VALUE!</v>
      </c>
      <c r="G19" s="10" t="e">
        <f t="shared" si="8"/>
        <v>#VALUE!</v>
      </c>
      <c r="H19" s="14" t="e">
        <f t="shared" si="9"/>
        <v>#VALUE!</v>
      </c>
      <c r="I19" s="10" t="e">
        <f>'FY 2013 by Agency'!I19*Inflator!#REF!</f>
        <v>#VALUE!</v>
      </c>
      <c r="J19" s="10" t="e">
        <f t="shared" si="10"/>
        <v>#VALUE!</v>
      </c>
      <c r="K19" s="14" t="e">
        <f t="shared" si="11"/>
        <v>#VALUE!</v>
      </c>
      <c r="L19" s="10" t="e">
        <f>'FY 2013 by Agency'!L19*Inflator!$E$6</f>
        <v>#VALUE!</v>
      </c>
      <c r="M19" s="10" t="e">
        <f t="shared" si="12"/>
        <v>#VALUE!</v>
      </c>
      <c r="N19" s="14" t="e">
        <f t="shared" si="13"/>
        <v>#VALUE!</v>
      </c>
      <c r="O19" s="10" t="e">
        <f>'FY 2013 by Agency'!O19*Inflator!$E$7</f>
        <v>#VALUE!</v>
      </c>
      <c r="P19" s="52" t="e">
        <f t="shared" si="14"/>
        <v>#VALUE!</v>
      </c>
      <c r="Q19" s="58" t="e">
        <f t="shared" si="0"/>
        <v>#VALUE!</v>
      </c>
      <c r="R19" s="52" t="e">
        <f>'FY 2013 by Agency'!R19*Inflator!$E$8</f>
        <v>#VALUE!</v>
      </c>
      <c r="S19" s="52" t="e">
        <f t="shared" si="1"/>
        <v>#VALUE!</v>
      </c>
      <c r="T19" s="58" t="e">
        <f t="shared" si="2"/>
        <v>#VALUE!</v>
      </c>
      <c r="U19" s="52" t="e">
        <f>'FY 2013 by Agency'!U19*Inflator!$E$9</f>
        <v>#VALUE!</v>
      </c>
      <c r="V19" s="52" t="e">
        <f t="shared" si="15"/>
        <v>#VALUE!</v>
      </c>
      <c r="W19" s="58" t="e">
        <f t="shared" si="16"/>
        <v>#VALUE!</v>
      </c>
      <c r="X19" s="52" t="e">
        <f>'FY 2013 by Agency'!X19*Inflator!$E$10</f>
        <v>#VALUE!</v>
      </c>
      <c r="Y19" s="39" t="e">
        <f t="shared" si="17"/>
        <v>#VALUE!</v>
      </c>
      <c r="Z19" s="58" t="e">
        <f t="shared" si="39"/>
        <v>#VALUE!</v>
      </c>
      <c r="AA19" s="52" t="e">
        <f>'FY 2013 by Agency'!AA19*Inflator!$E$11</f>
        <v>#VALUE!</v>
      </c>
      <c r="AB19" s="39" t="e">
        <f t="shared" si="3"/>
        <v>#VALUE!</v>
      </c>
      <c r="AC19" s="325" t="s">
        <v>78</v>
      </c>
      <c r="AD19" s="52" t="e">
        <f>'FY 2013 by Agency'!AD19*Inflator!#REF!</f>
        <v>#REF!</v>
      </c>
      <c r="AE19" s="52">
        <f>'FY 2013 by Agency'!AE19*Inflator!$B$8</f>
        <v>0</v>
      </c>
      <c r="AF19" s="52">
        <f>'FY 2013 by Agency'!AF19*Inflator!$E$12</f>
        <v>0</v>
      </c>
      <c r="AG19" s="52" t="e">
        <f t="shared" si="18"/>
        <v>#VALUE!</v>
      </c>
      <c r="AH19" s="58" t="e">
        <f t="shared" si="19"/>
        <v>#VALUE!</v>
      </c>
      <c r="AI19" s="52">
        <f>'FY 2013 by Agency'!AI19*Inflator!$B$8</f>
        <v>0</v>
      </c>
      <c r="AJ19" s="52">
        <f>'FY 2013 by Agency'!AJ19*Inflator!$B$8</f>
        <v>0</v>
      </c>
      <c r="AK19" s="52">
        <f>'FY 2013 by Agency'!AK19</f>
        <v>0</v>
      </c>
      <c r="AL19" s="52">
        <f>'FY 2013 by Agency'!AL19</f>
        <v>0</v>
      </c>
      <c r="AM19" s="52">
        <f>'FY 2013 by Agency'!AM19</f>
        <v>0</v>
      </c>
      <c r="AN19" s="52">
        <f>'FY 2013 by Agency'!AN19</f>
        <v>0</v>
      </c>
      <c r="AO19" s="52">
        <f>'FY 2013 by Agency'!AO19</f>
        <v>0</v>
      </c>
      <c r="AP19" s="52">
        <f>'FY 2013 by Agency'!AP19</f>
        <v>0</v>
      </c>
      <c r="AQ19" s="52">
        <f>'FY 2013 by Agency'!AQ19</f>
        <v>0</v>
      </c>
      <c r="AR19" s="52">
        <f>'FY 2013 by Agency'!AR19</f>
        <v>0</v>
      </c>
      <c r="AS19" s="52">
        <f>'FY 2013 by Agency'!AS19</f>
        <v>0</v>
      </c>
      <c r="AT19" s="52" t="e">
        <f t="shared" si="20"/>
        <v>#REF!</v>
      </c>
      <c r="AU19" s="58" t="e">
        <f t="shared" si="21"/>
        <v>#REF!</v>
      </c>
      <c r="AV19" s="52">
        <f t="shared" si="22"/>
        <v>0</v>
      </c>
      <c r="AW19" s="58" t="e">
        <f t="shared" si="23"/>
        <v>#DIV/0!</v>
      </c>
      <c r="AZ19" s="280">
        <f t="shared" si="24"/>
        <v>0</v>
      </c>
      <c r="BA19" s="280">
        <f t="shared" si="25"/>
        <v>0</v>
      </c>
      <c r="BB19" s="280">
        <f t="shared" si="26"/>
        <v>0</v>
      </c>
      <c r="BC19" s="58"/>
      <c r="BD19" s="291"/>
      <c r="BE19" s="51"/>
      <c r="BI19" s="65"/>
      <c r="BJ19" s="280">
        <f t="shared" si="28"/>
        <v>0</v>
      </c>
      <c r="BK19" s="65">
        <f t="shared" si="29"/>
        <v>0</v>
      </c>
      <c r="BL19" s="561">
        <f>'FY 2013 by Agency'!AS19*Inflator!$E$13</f>
        <v>0</v>
      </c>
      <c r="BM19" s="52">
        <f t="shared" si="30"/>
        <v>0</v>
      </c>
      <c r="BN19" s="51" t="e">
        <f t="shared" si="31"/>
        <v>#DIV/0!</v>
      </c>
      <c r="BO19" s="52">
        <f>'FY 2013 by Agency'!AX19*Inflator!$E$13</f>
        <v>0</v>
      </c>
      <c r="BP19" s="52">
        <f t="shared" si="32"/>
        <v>0</v>
      </c>
      <c r="BQ19" s="51" t="e">
        <f t="shared" si="33"/>
        <v>#DIV/0!</v>
      </c>
      <c r="BR19" s="52">
        <f>'FY 2013 by Agency'!BE19*Inflator!$E$14</f>
        <v>0</v>
      </c>
      <c r="BS19" s="52">
        <f t="shared" si="34"/>
        <v>0</v>
      </c>
      <c r="BT19" s="51" t="e">
        <f t="shared" si="35"/>
        <v>#DIV/0!</v>
      </c>
      <c r="BU19" s="52">
        <f>'FY 2013 by Agency'!BL19*Inflator!$E$14</f>
        <v>0</v>
      </c>
      <c r="BV19" s="10">
        <f t="shared" si="36"/>
        <v>0</v>
      </c>
      <c r="BW19" s="39">
        <v>0</v>
      </c>
      <c r="BX19" s="39">
        <f>'FY 2013 by Agency'!BW19*Inflator!E24</f>
        <v>0</v>
      </c>
      <c r="BY19" s="681">
        <v>0</v>
      </c>
      <c r="BZ19" s="39">
        <f t="shared" si="37"/>
        <v>0</v>
      </c>
      <c r="CA19" s="51" t="e">
        <f t="shared" si="38"/>
        <v>#DIV/0!</v>
      </c>
      <c r="CC19" s="39"/>
    </row>
    <row r="20" spans="1:81" ht="18" customHeight="1">
      <c r="A20" s="103" t="s">
        <v>209</v>
      </c>
      <c r="B20" s="325" t="s">
        <v>78</v>
      </c>
      <c r="C20" s="325" t="s">
        <v>78</v>
      </c>
      <c r="D20" s="325" t="s">
        <v>78</v>
      </c>
      <c r="E20" s="325" t="s">
        <v>78</v>
      </c>
      <c r="F20" s="325" t="s">
        <v>78</v>
      </c>
      <c r="G20" s="325" t="s">
        <v>78</v>
      </c>
      <c r="H20" s="325" t="s">
        <v>78</v>
      </c>
      <c r="I20" s="325" t="s">
        <v>78</v>
      </c>
      <c r="J20" s="325" t="s">
        <v>78</v>
      </c>
      <c r="K20" s="325" t="s">
        <v>78</v>
      </c>
      <c r="L20" s="10">
        <f>'FY 2013 by Agency'!L20*Inflator!$E$6</f>
        <v>0</v>
      </c>
      <c r="M20" s="325" t="s">
        <v>78</v>
      </c>
      <c r="N20" s="325" t="s">
        <v>78</v>
      </c>
      <c r="O20" s="10">
        <f>'FY 2013 by Agency'!O20*Inflator!$E$7</f>
        <v>0</v>
      </c>
      <c r="P20" s="52"/>
      <c r="Q20" s="58"/>
      <c r="R20" s="52">
        <f>'FY 2013 by Agency'!R20*Inflator!$E$8</f>
        <v>0</v>
      </c>
      <c r="S20" s="52"/>
      <c r="T20" s="58"/>
      <c r="U20" s="52">
        <f>'FY 2013 by Agency'!U20*Inflator!$E$9</f>
        <v>0</v>
      </c>
      <c r="V20" s="52"/>
      <c r="W20" s="58"/>
      <c r="X20" s="52">
        <f>'FY 2013 by Agency'!X20*Inflator!$E$10</f>
        <v>610.75516036837098</v>
      </c>
      <c r="Y20" s="39">
        <f t="shared" si="17"/>
        <v>610.75516036837098</v>
      </c>
      <c r="Z20" s="61"/>
      <c r="AA20" s="52">
        <f>'FY 2013 by Agency'!AA20*Inflator!$E$11</f>
        <v>1591.2902198152281</v>
      </c>
      <c r="AB20" s="39">
        <f t="shared" si="3"/>
        <v>980.53505944685708</v>
      </c>
      <c r="AC20" s="58">
        <f t="shared" si="4"/>
        <v>1.6054470319259473</v>
      </c>
      <c r="AD20" s="52" t="e">
        <f>'FY 2013 by Agency'!AD20*Inflator!#REF!</f>
        <v>#REF!</v>
      </c>
      <c r="AE20" s="52">
        <f>'FY 2013 by Agency'!AE20*Inflator!$B$8</f>
        <v>0</v>
      </c>
      <c r="AF20" s="52">
        <f>'FY 2013 by Agency'!AF20*Inflator!$E$12</f>
        <v>1023.0194235588974</v>
      </c>
      <c r="AG20" s="52">
        <f t="shared" si="18"/>
        <v>-568.27079625633064</v>
      </c>
      <c r="AH20" s="58">
        <f t="shared" si="19"/>
        <v>-0.35711323376468385</v>
      </c>
      <c r="AI20" s="52">
        <f>'FY 2013 by Agency'!AI20*Inflator!$B$8</f>
        <v>0</v>
      </c>
      <c r="AJ20" s="52">
        <f>'FY 2013 by Agency'!AJ20*Inflator!$B$8</f>
        <v>0</v>
      </c>
      <c r="AK20" s="52">
        <f>'FY 2013 by Agency'!AK20</f>
        <v>1144</v>
      </c>
      <c r="AL20" s="52">
        <f>'FY 2013 by Agency'!AL20</f>
        <v>0</v>
      </c>
      <c r="AM20" s="52">
        <f>'FY 2013 by Agency'!AM20</f>
        <v>1144</v>
      </c>
      <c r="AN20" s="52">
        <f>'FY 2013 by Agency'!AN20</f>
        <v>972</v>
      </c>
      <c r="AO20" s="52">
        <f>'FY 2013 by Agency'!AO20</f>
        <v>972</v>
      </c>
      <c r="AP20" s="52">
        <f>'FY 2013 by Agency'!AP20</f>
        <v>20</v>
      </c>
      <c r="AQ20" s="52">
        <f>'FY 2013 by Agency'!AQ20</f>
        <v>6</v>
      </c>
      <c r="AR20" s="52">
        <f>'FY 2013 by Agency'!AR20</f>
        <v>26</v>
      </c>
      <c r="AS20" s="52">
        <f>'FY 2013 by Agency'!AS20</f>
        <v>845.15286000000003</v>
      </c>
      <c r="AT20" s="52" t="e">
        <f t="shared" si="20"/>
        <v>#REF!</v>
      </c>
      <c r="AU20" s="58" t="e">
        <f t="shared" si="21"/>
        <v>#REF!</v>
      </c>
      <c r="AV20" s="52">
        <f t="shared" si="22"/>
        <v>-177.86656355889738</v>
      </c>
      <c r="AW20" s="58">
        <f t="shared" si="23"/>
        <v>-0.17386430742451806</v>
      </c>
      <c r="AX20" s="279" t="s">
        <v>261</v>
      </c>
      <c r="AY20" s="280">
        <v>1068.79069</v>
      </c>
      <c r="AZ20" s="280">
        <f t="shared" si="24"/>
        <v>96.790690000000041</v>
      </c>
      <c r="BA20" s="280">
        <f t="shared" si="25"/>
        <v>-81.075873558897342</v>
      </c>
      <c r="BB20" s="280">
        <f t="shared" si="26"/>
        <v>941.94355000000007</v>
      </c>
      <c r="BC20" s="58">
        <f t="shared" si="27"/>
        <v>-7.9251548594110988E-2</v>
      </c>
      <c r="BD20" s="291">
        <v>20.957000000000001</v>
      </c>
      <c r="BE20" s="51">
        <f t="shared" si="5"/>
        <v>1.9608142357602311E-2</v>
      </c>
      <c r="BI20" s="219">
        <v>906</v>
      </c>
      <c r="BJ20" s="280">
        <f t="shared" si="28"/>
        <v>-162.79069000000004</v>
      </c>
      <c r="BK20" s="65">
        <f t="shared" si="29"/>
        <v>932</v>
      </c>
      <c r="BL20" s="561">
        <f>'FY 2013 by Agency'!AS20*Inflator!$E$13</f>
        <v>876.35929761367117</v>
      </c>
      <c r="BM20" s="52">
        <f t="shared" si="30"/>
        <v>-146.66012594522624</v>
      </c>
      <c r="BN20" s="51">
        <f t="shared" si="31"/>
        <v>-0.14336006000259749</v>
      </c>
      <c r="BO20" s="52">
        <f>'FY 2013 by Agency'!AX20*Inflator!$E$13</f>
        <v>939.45315837656415</v>
      </c>
      <c r="BP20" s="52">
        <f t="shared" si="32"/>
        <v>-83.566265182333268</v>
      </c>
      <c r="BQ20" s="51">
        <f t="shared" si="33"/>
        <v>-8.1685902787281911E-2</v>
      </c>
      <c r="BR20" s="52">
        <f>'FY 2013 by Agency'!BE20*Inflator!$E$14</f>
        <v>965.92893401015237</v>
      </c>
      <c r="BS20" s="52">
        <f t="shared" si="34"/>
        <v>26.475775633588228</v>
      </c>
      <c r="BT20" s="51">
        <f t="shared" si="35"/>
        <v>2.8182113602491989E-2</v>
      </c>
      <c r="BU20" s="52">
        <f>'FY 2013 by Agency'!BL20*Inflator!$E$14</f>
        <v>988.25082114063912</v>
      </c>
      <c r="BV20" s="10">
        <f t="shared" si="36"/>
        <v>111.89152352696794</v>
      </c>
      <c r="BW20" s="487">
        <v>970</v>
      </c>
      <c r="BX20" s="39">
        <f>'FY 2013 by Agency'!BW20*Inflator!E15</f>
        <v>994.60699999999997</v>
      </c>
      <c r="BY20" s="681">
        <v>970</v>
      </c>
      <c r="BZ20" s="39">
        <f t="shared" si="37"/>
        <v>4.0710659898476251</v>
      </c>
      <c r="CA20" s="51">
        <f t="shared" si="38"/>
        <v>4.2146640881189678E-3</v>
      </c>
      <c r="CC20" s="39"/>
    </row>
    <row r="21" spans="1:81" ht="18" customHeight="1">
      <c r="A21" s="53" t="s">
        <v>210</v>
      </c>
      <c r="B21" s="322">
        <f>'FY 2013 by Agency'!B21*Inflator!$E$2</f>
        <v>505.36443381180226</v>
      </c>
      <c r="C21" s="322">
        <f>'FY 2013 by Agency'!C21*Inflator!$E$3</f>
        <v>10532.749613601238</v>
      </c>
      <c r="D21" s="322">
        <f t="shared" si="6"/>
        <v>10027.385179789435</v>
      </c>
      <c r="E21" s="351">
        <f t="shared" si="7"/>
        <v>19.841889355283822</v>
      </c>
      <c r="F21" s="10">
        <f>'FY 2013 by Agency'!F21*Inflator!$E$4</f>
        <v>2812.0487247811193</v>
      </c>
      <c r="G21" s="10">
        <f t="shared" si="8"/>
        <v>-7720.7008888201181</v>
      </c>
      <c r="H21" s="14">
        <f t="shared" si="9"/>
        <v>-0.73301855375448766</v>
      </c>
      <c r="I21" s="10">
        <f>'FY 2013 by Agency'!I21*Inflator!$E$5</f>
        <v>2980.9899590925997</v>
      </c>
      <c r="J21" s="10">
        <f t="shared" si="10"/>
        <v>168.94123431148046</v>
      </c>
      <c r="K21" s="14">
        <f t="shared" si="11"/>
        <v>6.0077634083182639E-2</v>
      </c>
      <c r="L21" s="10">
        <f>'FY 2013 by Agency'!L21*Inflator!$E$6</f>
        <v>5228.5474372955287</v>
      </c>
      <c r="M21" s="10">
        <f t="shared" si="12"/>
        <v>2247.5574782029289</v>
      </c>
      <c r="N21" s="14">
        <f t="shared" si="13"/>
        <v>0.75396345141902976</v>
      </c>
      <c r="O21" s="10">
        <f>'FY 2013 by Agency'!O21*Inflator!$E$7</f>
        <v>11280.020415346708</v>
      </c>
      <c r="P21" s="52">
        <f t="shared" si="14"/>
        <v>6051.4729780511789</v>
      </c>
      <c r="Q21" s="58">
        <f t="shared" si="0"/>
        <v>1.1573908529328194</v>
      </c>
      <c r="R21" s="52">
        <f>'FY 2013 by Agency'!R21*Inflator!$E$8</f>
        <v>11174.414120841819</v>
      </c>
      <c r="S21" s="52">
        <f t="shared" si="1"/>
        <v>-105.60629450488887</v>
      </c>
      <c r="T21" s="58">
        <f t="shared" si="2"/>
        <v>-9.3622432066886377E-3</v>
      </c>
      <c r="U21" s="52">
        <f>'FY 2013 by Agency'!U21*Inflator!$E$9</f>
        <v>9148.4615384615372</v>
      </c>
      <c r="V21" s="52">
        <f t="shared" si="15"/>
        <v>-2025.9525823802815</v>
      </c>
      <c r="W21" s="58">
        <f t="shared" si="16"/>
        <v>-0.18130280124499784</v>
      </c>
      <c r="X21" s="52">
        <f>'FY 2013 by Agency'!X21*Inflator!$E$10</f>
        <v>5364.0704985709754</v>
      </c>
      <c r="Y21" s="39">
        <f t="shared" si="17"/>
        <v>-3784.3910398905618</v>
      </c>
      <c r="Z21" s="58">
        <f>Y21/U21</f>
        <v>-0.41366420178741536</v>
      </c>
      <c r="AA21" s="52">
        <f>'FY 2013 by Agency'!AA21*Inflator!$E$11</f>
        <v>4839.9037910162479</v>
      </c>
      <c r="AB21" s="39">
        <f t="shared" si="3"/>
        <v>-524.16670755472751</v>
      </c>
      <c r="AC21" s="58">
        <f t="shared" si="4"/>
        <v>-9.7718086981587779E-2</v>
      </c>
      <c r="AD21" s="52" t="e">
        <f>'FY 2013 by Agency'!AD21*Inflator!#REF!</f>
        <v>#REF!</v>
      </c>
      <c r="AE21" s="52">
        <f>'FY 2013 by Agency'!AE21*Inflator!$B$8</f>
        <v>0</v>
      </c>
      <c r="AF21" s="52">
        <f>'FY 2013 by Agency'!AF21*Inflator!$E$12</f>
        <v>4574.3126566416049</v>
      </c>
      <c r="AG21" s="52">
        <f t="shared" si="18"/>
        <v>-265.59113437464293</v>
      </c>
      <c r="AH21" s="58">
        <f t="shared" si="19"/>
        <v>-5.4875292122051882E-2</v>
      </c>
      <c r="AI21" s="52">
        <f>'FY 2013 by Agency'!AI21*Inflator!$B$8</f>
        <v>0</v>
      </c>
      <c r="AJ21" s="52">
        <f>'FY 2013 by Agency'!AJ21*Inflator!$B$8</f>
        <v>0</v>
      </c>
      <c r="AK21" s="52">
        <f>'FY 2013 by Agency'!AK21</f>
        <v>4419</v>
      </c>
      <c r="AL21" s="52">
        <f>'FY 2013 by Agency'!AL21</f>
        <v>0</v>
      </c>
      <c r="AM21" s="52">
        <f>'FY 2013 by Agency'!AM21</f>
        <v>4419</v>
      </c>
      <c r="AN21" s="52">
        <f>'FY 2013 by Agency'!AN21</f>
        <v>21021</v>
      </c>
      <c r="AO21" s="52">
        <f>'FY 2013 by Agency'!AO21</f>
        <v>21291</v>
      </c>
      <c r="AP21" s="52">
        <f>'FY 2013 by Agency'!AP21</f>
        <v>163</v>
      </c>
      <c r="AQ21" s="52">
        <f>'FY 2013 by Agency'!AQ21</f>
        <v>0</v>
      </c>
      <c r="AR21" s="52">
        <f>'FY 2013 by Agency'!AR21</f>
        <v>163</v>
      </c>
      <c r="AS21" s="52">
        <f>'FY 2013 by Agency'!AS21</f>
        <v>18037.010310000001</v>
      </c>
      <c r="AT21" s="52" t="e">
        <f t="shared" si="20"/>
        <v>#REF!</v>
      </c>
      <c r="AU21" s="58" t="e">
        <f t="shared" si="21"/>
        <v>#REF!</v>
      </c>
      <c r="AV21" s="52">
        <f t="shared" si="22"/>
        <v>13462.697653358397</v>
      </c>
      <c r="AW21" s="58">
        <f t="shared" si="23"/>
        <v>2.9431083233480848</v>
      </c>
      <c r="AX21" s="279" t="s">
        <v>263</v>
      </c>
      <c r="AY21" s="280">
        <v>21149.38769</v>
      </c>
      <c r="AZ21" s="280">
        <f t="shared" si="24"/>
        <v>-141.61231000000043</v>
      </c>
      <c r="BA21" s="280">
        <f t="shared" si="25"/>
        <v>13321.085343358396</v>
      </c>
      <c r="BB21" s="280">
        <f t="shared" si="26"/>
        <v>17895.398000000001</v>
      </c>
      <c r="BC21" s="58">
        <f t="shared" si="27"/>
        <v>2.9121501618427952</v>
      </c>
      <c r="BD21" s="291">
        <v>11.462999999999999</v>
      </c>
      <c r="BE21" s="51">
        <f t="shared" si="5"/>
        <v>5.4200150699492897E-4</v>
      </c>
      <c r="BF21" s="50">
        <v>3078</v>
      </c>
      <c r="BI21" s="219">
        <v>18628</v>
      </c>
      <c r="BJ21" s="280">
        <f t="shared" si="28"/>
        <v>-2521.3876899999996</v>
      </c>
      <c r="BK21" s="65">
        <f t="shared" si="29"/>
        <v>18791</v>
      </c>
      <c r="BL21" s="561">
        <f>'FY 2013 by Agency'!AS21*Inflator!$E$13</f>
        <v>18703.009164900828</v>
      </c>
      <c r="BM21" s="52">
        <f t="shared" si="30"/>
        <v>14128.696508259223</v>
      </c>
      <c r="BN21" s="51">
        <f t="shared" si="31"/>
        <v>3.0887037176493113</v>
      </c>
      <c r="BO21" s="52">
        <f>'FY 2013 by Agency'!AX21*Inflator!$E$13</f>
        <v>19315.820567592313</v>
      </c>
      <c r="BP21" s="52">
        <f t="shared" si="32"/>
        <v>14741.507910950708</v>
      </c>
      <c r="BQ21" s="51">
        <f t="shared" si="33"/>
        <v>3.2226716924447647</v>
      </c>
      <c r="BR21" s="52">
        <f>'FY 2013 by Agency'!BE21*Inflator!$E$14</f>
        <v>19576.295013436848</v>
      </c>
      <c r="BS21" s="52">
        <f t="shared" si="34"/>
        <v>260.47444584453478</v>
      </c>
      <c r="BT21" s="51">
        <f t="shared" si="35"/>
        <v>1.3485031346871873E-2</v>
      </c>
      <c r="BU21" s="52">
        <f>'FY 2013 by Agency'!BL21*Inflator!$E$14</f>
        <v>19740.665273215887</v>
      </c>
      <c r="BV21" s="10">
        <f t="shared" si="36"/>
        <v>1037.6561083150591</v>
      </c>
      <c r="BW21" s="487">
        <f>19667-1360</f>
        <v>18307</v>
      </c>
      <c r="BX21" s="39">
        <f>'FY 2013 by Agency'!BW21*Inflator!E15</f>
        <v>18488.754000000001</v>
      </c>
      <c r="BY21" s="681">
        <f>19667-1360</f>
        <v>18307</v>
      </c>
      <c r="BZ21" s="39">
        <f t="shared" si="37"/>
        <v>-1269.2950134368475</v>
      </c>
      <c r="CA21" s="51">
        <f t="shared" si="38"/>
        <v>-6.4838367656679885E-2</v>
      </c>
      <c r="CC21" s="39"/>
    </row>
    <row r="22" spans="1:81" ht="18" customHeight="1">
      <c r="A22" s="53" t="s">
        <v>211</v>
      </c>
      <c r="B22" s="325" t="s">
        <v>78</v>
      </c>
      <c r="C22" s="325" t="s">
        <v>78</v>
      </c>
      <c r="D22" s="325" t="s">
        <v>78</v>
      </c>
      <c r="E22" s="325" t="s">
        <v>78</v>
      </c>
      <c r="F22" s="325" t="s">
        <v>78</v>
      </c>
      <c r="G22" s="325" t="s">
        <v>78</v>
      </c>
      <c r="H22" s="325" t="s">
        <v>78</v>
      </c>
      <c r="I22" s="325" t="s">
        <v>78</v>
      </c>
      <c r="J22" s="325" t="s">
        <v>78</v>
      </c>
      <c r="K22" s="325" t="s">
        <v>78</v>
      </c>
      <c r="L22" s="10">
        <f>'FY 2013 by Agency'!L22*Inflator!$E$6</f>
        <v>0</v>
      </c>
      <c r="M22" s="325" t="s">
        <v>78</v>
      </c>
      <c r="N22" s="325" t="s">
        <v>78</v>
      </c>
      <c r="O22" s="10">
        <f>'FY 2013 by Agency'!O22*Inflator!$E$7</f>
        <v>0</v>
      </c>
      <c r="P22" s="325" t="s">
        <v>78</v>
      </c>
      <c r="Q22" s="325" t="s">
        <v>78</v>
      </c>
      <c r="R22" s="52">
        <f>'FY 2013 by Agency'!R22*Inflator!$E$8</f>
        <v>0</v>
      </c>
      <c r="S22" s="325" t="s">
        <v>78</v>
      </c>
      <c r="T22" s="325" t="s">
        <v>78</v>
      </c>
      <c r="U22" s="52">
        <f>'FY 2013 by Agency'!U22*Inflator!$E$9</f>
        <v>0</v>
      </c>
      <c r="V22" s="325" t="s">
        <v>78</v>
      </c>
      <c r="W22" s="325" t="s">
        <v>78</v>
      </c>
      <c r="X22" s="52">
        <f>'FY 2013 by Agency'!X22*Inflator!$E$10</f>
        <v>0</v>
      </c>
      <c r="Y22" s="325" t="s">
        <v>78</v>
      </c>
      <c r="Z22" s="61"/>
      <c r="AA22" s="52">
        <f>'FY 2013 by Agency'!AA22*Inflator!$E$11</f>
        <v>971.01178719337383</v>
      </c>
      <c r="AB22" s="325" t="s">
        <v>78</v>
      </c>
      <c r="AC22" s="325" t="s">
        <v>78</v>
      </c>
      <c r="AD22" s="52" t="e">
        <f>'FY 2013 by Agency'!AD22*Inflator!#REF!</f>
        <v>#REF!</v>
      </c>
      <c r="AE22" s="52">
        <f>'FY 2013 by Agency'!AE22*Inflator!$B$8</f>
        <v>0</v>
      </c>
      <c r="AF22" s="52">
        <f>'FY 2013 by Agency'!AF22*Inflator!$E$12</f>
        <v>0</v>
      </c>
      <c r="AG22" s="52">
        <f t="shared" si="18"/>
        <v>-971.01178719337383</v>
      </c>
      <c r="AH22" s="58">
        <f t="shared" si="19"/>
        <v>-1</v>
      </c>
      <c r="AI22" s="52">
        <f>'FY 2013 by Agency'!AI22*Inflator!$B$8</f>
        <v>0</v>
      </c>
      <c r="AJ22" s="52">
        <f>'FY 2013 by Agency'!AJ22*Inflator!$B$8</f>
        <v>0</v>
      </c>
      <c r="AK22" s="52">
        <f>'FY 2013 by Agency'!AK22</f>
        <v>702</v>
      </c>
      <c r="AL22" s="52">
        <f>'FY 2013 by Agency'!AL22</f>
        <v>0</v>
      </c>
      <c r="AM22" s="52">
        <f>'FY 2013 by Agency'!AM22</f>
        <v>702</v>
      </c>
      <c r="AN22" s="52">
        <f>'FY 2013 by Agency'!AN22</f>
        <v>0</v>
      </c>
      <c r="AO22" s="52">
        <f>'FY 2013 by Agency'!AO22</f>
        <v>0</v>
      </c>
      <c r="AP22" s="52">
        <f>'FY 2013 by Agency'!AP22</f>
        <v>0</v>
      </c>
      <c r="AQ22" s="52">
        <f>'FY 2013 by Agency'!AQ22</f>
        <v>0</v>
      </c>
      <c r="AR22" s="52">
        <f>'FY 2013 by Agency'!AR22</f>
        <v>0</v>
      </c>
      <c r="AS22" s="52">
        <f>'FY 2013 by Agency'!AS22</f>
        <v>0</v>
      </c>
      <c r="AT22" s="52" t="e">
        <f t="shared" si="20"/>
        <v>#REF!</v>
      </c>
      <c r="AU22" s="58" t="e">
        <f t="shared" si="21"/>
        <v>#REF!</v>
      </c>
      <c r="AV22" s="52">
        <f t="shared" si="22"/>
        <v>0</v>
      </c>
      <c r="AW22" s="58" t="e">
        <f t="shared" si="23"/>
        <v>#DIV/0!</v>
      </c>
      <c r="AX22" s="279" t="s">
        <v>264</v>
      </c>
      <c r="AY22" s="280">
        <v>0</v>
      </c>
      <c r="AZ22" s="280">
        <f t="shared" si="24"/>
        <v>0</v>
      </c>
      <c r="BA22" s="280">
        <f t="shared" si="25"/>
        <v>0</v>
      </c>
      <c r="BB22" s="280">
        <f t="shared" si="26"/>
        <v>0</v>
      </c>
      <c r="BC22" s="58" t="e">
        <f t="shared" si="27"/>
        <v>#DIV/0!</v>
      </c>
      <c r="BD22" s="291"/>
      <c r="BE22" s="51"/>
      <c r="BI22" s="219">
        <v>0</v>
      </c>
      <c r="BJ22" s="280">
        <f t="shared" si="28"/>
        <v>0</v>
      </c>
      <c r="BK22" s="65">
        <f t="shared" si="29"/>
        <v>0</v>
      </c>
      <c r="BL22" s="561">
        <f>'FY 2013 by Agency'!AS22*Inflator!$E$13</f>
        <v>0</v>
      </c>
      <c r="BM22" s="52">
        <f t="shared" si="30"/>
        <v>0</v>
      </c>
      <c r="BN22" s="51" t="e">
        <f t="shared" si="31"/>
        <v>#DIV/0!</v>
      </c>
      <c r="BO22" s="52">
        <f>'FY 2013 by Agency'!AX22*Inflator!$E$13</f>
        <v>0</v>
      </c>
      <c r="BP22" s="52">
        <f t="shared" si="32"/>
        <v>0</v>
      </c>
      <c r="BQ22" s="51" t="e">
        <f t="shared" si="33"/>
        <v>#DIV/0!</v>
      </c>
      <c r="BR22" s="52">
        <f>'FY 2013 by Agency'!BE22*Inflator!$E$14</f>
        <v>0</v>
      </c>
      <c r="BS22" s="52">
        <f t="shared" si="34"/>
        <v>0</v>
      </c>
      <c r="BT22" s="51" t="e">
        <f t="shared" si="35"/>
        <v>#DIV/0!</v>
      </c>
      <c r="BU22" s="52">
        <f>'FY 2013 by Agency'!BL22*Inflator!$E$14</f>
        <v>0</v>
      </c>
      <c r="BV22" s="10">
        <f t="shared" si="36"/>
        <v>0</v>
      </c>
      <c r="BW22" s="39">
        <v>0</v>
      </c>
      <c r="BX22" s="39">
        <f>'FY 2013 by Agency'!BW22*Inflator!E15</f>
        <v>52.9</v>
      </c>
      <c r="BY22" s="681">
        <v>0</v>
      </c>
      <c r="BZ22" s="39">
        <f t="shared" si="37"/>
        <v>0</v>
      </c>
      <c r="CA22" s="51" t="e">
        <f t="shared" si="38"/>
        <v>#DIV/0!</v>
      </c>
      <c r="CC22" s="39"/>
    </row>
    <row r="23" spans="1:81" ht="18" customHeight="1">
      <c r="A23" s="103" t="s">
        <v>140</v>
      </c>
      <c r="B23" s="322">
        <f>'FY 2013 by Agency'!B23*Inflator!$E$2</f>
        <v>18667.322169059011</v>
      </c>
      <c r="C23" s="322">
        <f>'FY 2013 by Agency'!C23*Inflator!$E$3</f>
        <v>16697.20479134467</v>
      </c>
      <c r="D23" s="322">
        <f t="shared" si="6"/>
        <v>-1970.1173777143413</v>
      </c>
      <c r="E23" s="351">
        <f t="shared" si="7"/>
        <v>-0.10553829627367768</v>
      </c>
      <c r="F23" s="10">
        <f>'FY 2013 by Agency'!F23*Inflator!$E$4</f>
        <v>16814.085268366958</v>
      </c>
      <c r="G23" s="10">
        <f t="shared" si="8"/>
        <v>116.88047702228869</v>
      </c>
      <c r="H23" s="14">
        <f t="shared" si="9"/>
        <v>7.000002604200915E-3</v>
      </c>
      <c r="I23" s="10">
        <f>'FY 2013 by Agency'!I23*Inflator!$E$5</f>
        <v>14851.875790256603</v>
      </c>
      <c r="J23" s="10">
        <f t="shared" si="10"/>
        <v>-1962.2094781103551</v>
      </c>
      <c r="K23" s="14">
        <f t="shared" si="11"/>
        <v>-0.11670034062465127</v>
      </c>
      <c r="L23" s="10">
        <f>'FY 2013 by Agency'!L23*Inflator!$E$6</f>
        <v>14659.201744820064</v>
      </c>
      <c r="M23" s="10">
        <f t="shared" si="12"/>
        <v>-192.67404543653902</v>
      </c>
      <c r="N23" s="14">
        <f t="shared" si="13"/>
        <v>-1.2973044493338717E-2</v>
      </c>
      <c r="O23" s="10">
        <f>'FY 2013 by Agency'!O23*Inflator!$E$7</f>
        <v>13371.92537838789</v>
      </c>
      <c r="P23" s="52">
        <f t="shared" si="14"/>
        <v>-1287.2763664321737</v>
      </c>
      <c r="Q23" s="58">
        <f t="shared" si="0"/>
        <v>-8.781353779287758E-2</v>
      </c>
      <c r="R23" s="52">
        <f>'FY 2013 by Agency'!R23*Inflator!$E$8</f>
        <v>14535.504412763068</v>
      </c>
      <c r="S23" s="52">
        <f t="shared" si="1"/>
        <v>1163.5790343751778</v>
      </c>
      <c r="T23" s="58">
        <f t="shared" si="2"/>
        <v>8.7016566533925574E-2</v>
      </c>
      <c r="U23" s="52">
        <f>'FY 2013 by Agency'!U23*Inflator!$E$9</f>
        <v>13727.198938992042</v>
      </c>
      <c r="V23" s="52">
        <f t="shared" si="15"/>
        <v>-808.3054737710263</v>
      </c>
      <c r="W23" s="58">
        <f t="shared" si="16"/>
        <v>-5.5609041889271092E-2</v>
      </c>
      <c r="X23" s="52">
        <f>'FY 2013 by Agency'!X23*Inflator!$E$10</f>
        <v>6535.9434741187688</v>
      </c>
      <c r="Y23" s="39">
        <f t="shared" si="17"/>
        <v>-7191.255464873273</v>
      </c>
      <c r="Z23" s="58">
        <f t="shared" ref="Z23:Z34" si="40">Y23/U23</f>
        <v>-0.5238691080994351</v>
      </c>
      <c r="AA23" s="52">
        <f>'FY 2013 by Agency'!AA23*Inflator!$E$11</f>
        <v>7066.6275884039514</v>
      </c>
      <c r="AB23" s="39">
        <f t="shared" si="3"/>
        <v>530.68411428518266</v>
      </c>
      <c r="AC23" s="58">
        <f t="shared" si="4"/>
        <v>8.1194722137148526E-2</v>
      </c>
      <c r="AD23" s="52" t="e">
        <f>'FY 2013 by Agency'!AD23*Inflator!#REF!</f>
        <v>#REF!</v>
      </c>
      <c r="AE23" s="52">
        <f>'FY 2013 by Agency'!AE23*Inflator!$B$8</f>
        <v>0</v>
      </c>
      <c r="AF23" s="52">
        <f>'FY 2013 by Agency'!AF23*Inflator!$E$12</f>
        <v>3510.8408521303263</v>
      </c>
      <c r="AG23" s="52">
        <f t="shared" si="18"/>
        <v>-3555.7867362736251</v>
      </c>
      <c r="AH23" s="58">
        <f t="shared" si="19"/>
        <v>-0.50318015089807855</v>
      </c>
      <c r="AI23" s="52">
        <f>'FY 2013 by Agency'!AI23*Inflator!$B$8</f>
        <v>0</v>
      </c>
      <c r="AJ23" s="52">
        <f>'FY 2013 by Agency'!AJ23*Inflator!$B$8</f>
        <v>0</v>
      </c>
      <c r="AK23" s="52">
        <f>'FY 2013 by Agency'!AK23</f>
        <v>3181</v>
      </c>
      <c r="AL23" s="52">
        <f>'FY 2013 by Agency'!AL23</f>
        <v>0</v>
      </c>
      <c r="AM23" s="52">
        <f>'FY 2013 by Agency'!AM23</f>
        <v>3181</v>
      </c>
      <c r="AN23" s="52">
        <f>'FY 2013 by Agency'!AN23</f>
        <v>9901</v>
      </c>
      <c r="AO23" s="52">
        <f>'FY 2013 by Agency'!AO23</f>
        <v>11195</v>
      </c>
      <c r="AP23" s="52">
        <f>'FY 2013 by Agency'!AP23</f>
        <v>651</v>
      </c>
      <c r="AQ23" s="52">
        <f>'FY 2013 by Agency'!AQ23</f>
        <v>0</v>
      </c>
      <c r="AR23" s="52">
        <f>'FY 2013 by Agency'!AR23</f>
        <v>651</v>
      </c>
      <c r="AS23" s="52">
        <f>'FY 2013 by Agency'!AS23</f>
        <v>10133.850279999999</v>
      </c>
      <c r="AT23" s="52" t="e">
        <f t="shared" si="20"/>
        <v>#REF!</v>
      </c>
      <c r="AU23" s="58" t="e">
        <f t="shared" si="21"/>
        <v>#REF!</v>
      </c>
      <c r="AV23" s="52">
        <f t="shared" si="22"/>
        <v>6623.0094278696724</v>
      </c>
      <c r="AW23" s="58">
        <f t="shared" si="23"/>
        <v>1.8864453579121732</v>
      </c>
      <c r="AX23" s="279" t="s">
        <v>265</v>
      </c>
      <c r="AY23" s="280">
        <v>10593</v>
      </c>
      <c r="AZ23" s="280">
        <f t="shared" si="24"/>
        <v>-602</v>
      </c>
      <c r="BA23" s="280">
        <f t="shared" si="25"/>
        <v>6021.0094278696724</v>
      </c>
      <c r="BB23" s="280">
        <f t="shared" si="26"/>
        <v>9531.8502799999987</v>
      </c>
      <c r="BC23" s="58">
        <f t="shared" si="27"/>
        <v>1.7149764633210909</v>
      </c>
      <c r="BD23" s="291">
        <v>46.091000000000001</v>
      </c>
      <c r="BE23" s="51">
        <f t="shared" si="5"/>
        <v>4.3510809024827719E-3</v>
      </c>
      <c r="BI23" s="219">
        <v>10003</v>
      </c>
      <c r="BJ23" s="280">
        <f t="shared" si="28"/>
        <v>-590</v>
      </c>
      <c r="BK23" s="65">
        <f t="shared" si="29"/>
        <v>10654</v>
      </c>
      <c r="BL23" s="561">
        <f>'FY 2013 by Agency'!AS23*Inflator!$E$13</f>
        <v>10508.0327285444</v>
      </c>
      <c r="BM23" s="52">
        <f t="shared" si="30"/>
        <v>6997.1918764140737</v>
      </c>
      <c r="BN23" s="51">
        <f t="shared" si="31"/>
        <v>1.9930245121103343</v>
      </c>
      <c r="BO23" s="52">
        <f>'FY 2013 by Agency'!AX23*Inflator!$E$13</f>
        <v>10372.350930729328</v>
      </c>
      <c r="BP23" s="52">
        <f t="shared" si="32"/>
        <v>6861.5100785990016</v>
      </c>
      <c r="BQ23" s="51">
        <f t="shared" si="33"/>
        <v>1.9543779873802991</v>
      </c>
      <c r="BR23" s="52">
        <f>'FY 2013 by Agency'!BE23*Inflator!$E$14</f>
        <v>8825.262466407883</v>
      </c>
      <c r="BS23" s="52">
        <f t="shared" si="34"/>
        <v>-1547.0884643214449</v>
      </c>
      <c r="BT23" s="51">
        <f t="shared" si="35"/>
        <v>-0.14915504446904226</v>
      </c>
      <c r="BU23" s="52">
        <f>'FY 2013 by Agency'!BL23*Inflator!$E$14</f>
        <v>9530.4311734846233</v>
      </c>
      <c r="BV23" s="10">
        <f t="shared" si="36"/>
        <v>-977.60155505977673</v>
      </c>
      <c r="BW23" s="487">
        <v>8971</v>
      </c>
      <c r="BX23" s="39">
        <f>'FY 2013 by Agency'!BW23*Inflator!E15</f>
        <v>9756.5609999999997</v>
      </c>
      <c r="BY23" s="681">
        <v>8971</v>
      </c>
      <c r="BZ23" s="39">
        <f t="shared" si="37"/>
        <v>145.73753359211696</v>
      </c>
      <c r="CA23" s="51">
        <f t="shared" si="38"/>
        <v>1.6513676975256693E-2</v>
      </c>
      <c r="CC23" s="39"/>
    </row>
    <row r="24" spans="1:81" ht="18" customHeight="1">
      <c r="A24" s="103" t="s">
        <v>212</v>
      </c>
      <c r="B24" s="322">
        <f>'FY 2013 by Agency'!B24*Inflator!$E$2</f>
        <v>30409.932216905901</v>
      </c>
      <c r="C24" s="322">
        <f>'FY 2013 by Agency'!C24*Inflator!$E$3</f>
        <v>14801.257341576507</v>
      </c>
      <c r="D24" s="322">
        <f t="shared" si="6"/>
        <v>-15608.674875329394</v>
      </c>
      <c r="E24" s="351">
        <f t="shared" si="7"/>
        <v>-0.51327555628854737</v>
      </c>
      <c r="F24" s="10">
        <f>'FY 2013 by Agency'!F24*Inflator!$E$4</f>
        <v>17976.933384088316</v>
      </c>
      <c r="G24" s="10">
        <f t="shared" si="8"/>
        <v>3175.6760425118082</v>
      </c>
      <c r="H24" s="14">
        <f t="shared" si="9"/>
        <v>0.21455447798960853</v>
      </c>
      <c r="I24" s="10">
        <f>'FY 2013 by Agency'!I24*Inflator!$E$5</f>
        <v>16977.363332093719</v>
      </c>
      <c r="J24" s="10">
        <f t="shared" si="10"/>
        <v>-999.57005199459672</v>
      </c>
      <c r="K24" s="14">
        <f t="shared" si="11"/>
        <v>-5.5602923515271678E-2</v>
      </c>
      <c r="L24" s="10">
        <f>'FY 2013 by Agency'!L24*Inflator!$E$6</f>
        <v>28393.248273355141</v>
      </c>
      <c r="M24" s="10">
        <f t="shared" si="12"/>
        <v>11415.884941261422</v>
      </c>
      <c r="N24" s="14">
        <f t="shared" si="13"/>
        <v>0.67241801438513293</v>
      </c>
      <c r="O24" s="10">
        <f>'FY 2013 by Agency'!O24*Inflator!$E$7</f>
        <v>53188.68708201337</v>
      </c>
      <c r="P24" s="52">
        <f t="shared" si="14"/>
        <v>24795.438808658229</v>
      </c>
      <c r="Q24" s="58">
        <f t="shared" si="0"/>
        <v>0.87328644366227104</v>
      </c>
      <c r="R24" s="52">
        <f>'FY 2013 by Agency'!R24*Inflator!$E$8</f>
        <v>53651.720977596735</v>
      </c>
      <c r="S24" s="52">
        <f t="shared" si="1"/>
        <v>463.03389558336494</v>
      </c>
      <c r="T24" s="58">
        <f t="shared" si="2"/>
        <v>8.7054958673711547E-3</v>
      </c>
      <c r="U24" s="52">
        <f>'FY 2013 by Agency'!U24*Inflator!$E$9</f>
        <v>42970.72944297082</v>
      </c>
      <c r="V24" s="52">
        <f t="shared" si="15"/>
        <v>-10680.991534625915</v>
      </c>
      <c r="W24" s="58">
        <f t="shared" si="16"/>
        <v>-0.19908012902486316</v>
      </c>
      <c r="X24" s="52">
        <f>'FY 2013 by Agency'!X24*Inflator!$E$10</f>
        <v>69125.398539218804</v>
      </c>
      <c r="Y24" s="39">
        <f t="shared" si="17"/>
        <v>26154.669096247984</v>
      </c>
      <c r="Z24" s="58">
        <f t="shared" si="40"/>
        <v>0.60866244151055204</v>
      </c>
      <c r="AA24" s="52">
        <f>'FY 2013 by Agency'!AA24*Inflator!$E$11</f>
        <v>61105.544440904756</v>
      </c>
      <c r="AB24" s="39">
        <f t="shared" si="3"/>
        <v>-8019.8540983140483</v>
      </c>
      <c r="AC24" s="58">
        <f t="shared" si="4"/>
        <v>-0.11601892022024184</v>
      </c>
      <c r="AD24" s="52" t="e">
        <f>'FY 2013 by Agency'!AD24*Inflator!#REF!</f>
        <v>#REF!</v>
      </c>
      <c r="AE24" s="52">
        <f>'FY 2013 by Agency'!AE24*Inflator!$B$8</f>
        <v>0</v>
      </c>
      <c r="AF24" s="52">
        <f>'FY 2013 by Agency'!AF24*Inflator!$E$12</f>
        <v>52750.969298245618</v>
      </c>
      <c r="AG24" s="52">
        <f t="shared" si="18"/>
        <v>-8354.5751426591378</v>
      </c>
      <c r="AH24" s="58">
        <f t="shared" si="19"/>
        <v>-0.13672368389972955</v>
      </c>
      <c r="AI24" s="52">
        <f>'FY 2013 by Agency'!AI24*Inflator!$B$8</f>
        <v>0</v>
      </c>
      <c r="AJ24" s="52">
        <f>'FY 2013 by Agency'!AJ24*Inflator!$B$8</f>
        <v>0</v>
      </c>
      <c r="AK24" s="52">
        <f>'FY 2013 by Agency'!AK24</f>
        <v>46111</v>
      </c>
      <c r="AL24" s="52">
        <f>'FY 2013 by Agency'!AL24</f>
        <v>0</v>
      </c>
      <c r="AM24" s="52">
        <f>'FY 2013 by Agency'!AM24</f>
        <v>46111</v>
      </c>
      <c r="AN24" s="52">
        <f>'FY 2013 by Agency'!AN24</f>
        <v>34853</v>
      </c>
      <c r="AO24" s="52">
        <f>'FY 2013 by Agency'!AO24</f>
        <v>38168</v>
      </c>
      <c r="AP24" s="52">
        <f>'FY 2013 by Agency'!AP24</f>
        <v>8901</v>
      </c>
      <c r="AQ24" s="52">
        <f>'FY 2013 by Agency'!AQ24</f>
        <v>1080</v>
      </c>
      <c r="AR24" s="52">
        <f>'FY 2013 by Agency'!AR24</f>
        <v>9981</v>
      </c>
      <c r="AS24" s="52">
        <f>'FY 2013 by Agency'!AS24</f>
        <v>48550.591870000004</v>
      </c>
      <c r="AT24" s="52" t="e">
        <f t="shared" si="20"/>
        <v>#REF!</v>
      </c>
      <c r="AU24" s="58" t="e">
        <f t="shared" si="21"/>
        <v>#REF!</v>
      </c>
      <c r="AV24" s="52">
        <f t="shared" si="22"/>
        <v>-4200.3774282456143</v>
      </c>
      <c r="AW24" s="58">
        <f t="shared" si="23"/>
        <v>-7.9626544954981698E-2</v>
      </c>
      <c r="AX24" s="279" t="s">
        <v>266</v>
      </c>
      <c r="AY24" s="280">
        <v>36099.060129999998</v>
      </c>
      <c r="AZ24" s="280">
        <f t="shared" si="24"/>
        <v>-2068.939870000002</v>
      </c>
      <c r="BA24" s="280">
        <f t="shared" si="25"/>
        <v>-6269.3172982456163</v>
      </c>
      <c r="BB24" s="280">
        <f t="shared" si="26"/>
        <v>46481.652000000002</v>
      </c>
      <c r="BC24" s="58">
        <f t="shared" si="27"/>
        <v>-0.11884743316847679</v>
      </c>
      <c r="BD24" s="291">
        <v>1128.1759999999999</v>
      </c>
      <c r="BE24" s="51">
        <f t="shared" si="5"/>
        <v>3.125222639972372E-2</v>
      </c>
      <c r="BI24" s="219">
        <v>33443</v>
      </c>
      <c r="BJ24" s="280">
        <f t="shared" si="28"/>
        <v>-2656.060129999998</v>
      </c>
      <c r="BK24" s="65">
        <f t="shared" si="29"/>
        <v>43424</v>
      </c>
      <c r="BL24" s="561">
        <f>'FY 2013 by Agency'!AS24*Inflator!$E$13</f>
        <v>50343.274694617037</v>
      </c>
      <c r="BM24" s="52">
        <f t="shared" si="30"/>
        <v>-2407.6946036285808</v>
      </c>
      <c r="BN24" s="51">
        <f t="shared" si="31"/>
        <v>-4.5642660896254954E-2</v>
      </c>
      <c r="BO24" s="52">
        <f>'FY 2013 by Agency'!AX24*Inflator!$E$13</f>
        <v>34677.849862679286</v>
      </c>
      <c r="BP24" s="52">
        <f t="shared" si="32"/>
        <v>-18073.119435566332</v>
      </c>
      <c r="BQ24" s="51">
        <f t="shared" si="33"/>
        <v>-0.3426120823180287</v>
      </c>
      <c r="BR24" s="52">
        <f>'FY 2013 by Agency'!BE24*Inflator!$E$14</f>
        <v>43922.371454165426</v>
      </c>
      <c r="BS24" s="52">
        <f t="shared" si="34"/>
        <v>9244.5215914861401</v>
      </c>
      <c r="BT24" s="51">
        <f t="shared" si="35"/>
        <v>0.26658289450163414</v>
      </c>
      <c r="BU24" s="52">
        <f>'FY 2013 by Agency'!BL24*Inflator!$E$14</f>
        <v>56477.418333830996</v>
      </c>
      <c r="BV24" s="10">
        <f t="shared" si="36"/>
        <v>6134.1436392139585</v>
      </c>
      <c r="BW24" s="487">
        <v>52142</v>
      </c>
      <c r="BX24" s="39">
        <f>'FY 2013 by Agency'!BW24*Inflator!E15</f>
        <v>63085.68</v>
      </c>
      <c r="BY24" s="681">
        <v>50917</v>
      </c>
      <c r="BZ24" s="39">
        <f t="shared" si="37"/>
        <v>8219.6285458345737</v>
      </c>
      <c r="CA24" s="51">
        <f t="shared" si="38"/>
        <v>0.18713990783516896</v>
      </c>
      <c r="CC24" s="39"/>
    </row>
    <row r="25" spans="1:81" ht="18" customHeight="1">
      <c r="A25" s="268" t="s">
        <v>415</v>
      </c>
      <c r="B25" s="322">
        <f>'FY 2013 by Agency'!B25*Inflator!$E$2</f>
        <v>12643.594896331739</v>
      </c>
      <c r="C25" s="322">
        <f>'FY 2013 by Agency'!C25*Inflator!$E$3</f>
        <v>30911.558732612059</v>
      </c>
      <c r="D25" s="322">
        <f t="shared" si="6"/>
        <v>18267.96383628032</v>
      </c>
      <c r="E25" s="351">
        <f t="shared" si="7"/>
        <v>1.4448393820004759</v>
      </c>
      <c r="F25" s="10">
        <f>'FY 2013 by Agency'!F25*Inflator!$E$4</f>
        <v>18419.307194518464</v>
      </c>
      <c r="G25" s="10">
        <f t="shared" si="8"/>
        <v>-12492.251538093595</v>
      </c>
      <c r="H25" s="14">
        <f t="shared" si="9"/>
        <v>-0.40412881298393155</v>
      </c>
      <c r="I25" s="10">
        <f>'FY 2013 by Agency'!I25*Inflator!$E$5</f>
        <v>9327.1245816288592</v>
      </c>
      <c r="J25" s="10">
        <f t="shared" si="10"/>
        <v>-9092.1826128896046</v>
      </c>
      <c r="K25" s="14">
        <f t="shared" si="11"/>
        <v>-0.49362239941334024</v>
      </c>
      <c r="L25" s="10">
        <f>'FY 2013 by Agency'!L25*Inflator!$E$6</f>
        <v>15859.803707742638</v>
      </c>
      <c r="M25" s="10">
        <f t="shared" si="12"/>
        <v>6532.6791261137787</v>
      </c>
      <c r="N25" s="14">
        <f t="shared" si="13"/>
        <v>0.70039582605992512</v>
      </c>
      <c r="O25" s="10">
        <f>'FY 2013 by Agency'!O25*Inflator!$E$7</f>
        <v>21251.553678282293</v>
      </c>
      <c r="P25" s="52">
        <f t="shared" si="14"/>
        <v>5391.7499705396549</v>
      </c>
      <c r="Q25" s="58">
        <f t="shared" si="0"/>
        <v>0.33996322211147184</v>
      </c>
      <c r="R25" s="52">
        <f>'FY 2013 by Agency'!R25*Inflator!$E$8</f>
        <v>18329.130346232178</v>
      </c>
      <c r="S25" s="52">
        <f t="shared" si="1"/>
        <v>-2922.4233320501153</v>
      </c>
      <c r="T25" s="58">
        <f t="shared" si="2"/>
        <v>-0.13751574949725404</v>
      </c>
      <c r="U25" s="52">
        <f>'FY 2013 by Agency'!U25*Inflator!$E$9</f>
        <v>29343.803050397877</v>
      </c>
      <c r="V25" s="52">
        <f t="shared" si="15"/>
        <v>11014.6727041657</v>
      </c>
      <c r="W25" s="58">
        <f t="shared" si="16"/>
        <v>0.600938096685527</v>
      </c>
      <c r="X25" s="52">
        <f>'FY 2013 by Agency'!X25*Inflator!$E$10</f>
        <v>23166.612257859641</v>
      </c>
      <c r="Y25" s="39">
        <f t="shared" si="17"/>
        <v>-6177.1907925382366</v>
      </c>
      <c r="Z25" s="58">
        <f t="shared" si="40"/>
        <v>-0.21051091373292458</v>
      </c>
      <c r="AA25" s="52">
        <f>'FY 2013 by Agency'!AA25*Inflator!$E$11</f>
        <v>33689.887225230974</v>
      </c>
      <c r="AB25" s="39">
        <f t="shared" si="3"/>
        <v>10523.274967371333</v>
      </c>
      <c r="AC25" s="58">
        <f t="shared" si="4"/>
        <v>0.45424315174961094</v>
      </c>
      <c r="AD25" s="52" t="e">
        <f>'FY 2013 by Agency'!AD25*Inflator!#REF!</f>
        <v>#REF!</v>
      </c>
      <c r="AE25" s="52">
        <f>'FY 2013 by Agency'!AE25*Inflator!$B$8</f>
        <v>0</v>
      </c>
      <c r="AF25" s="52">
        <f>'FY 2013 by Agency'!AF25*Inflator!$E$12</f>
        <v>31600.761278195492</v>
      </c>
      <c r="AG25" s="52">
        <f t="shared" si="18"/>
        <v>-2089.1259470354817</v>
      </c>
      <c r="AH25" s="58">
        <f t="shared" si="19"/>
        <v>-6.2010476113167186E-2</v>
      </c>
      <c r="AI25" s="52">
        <f>'FY 2013 by Agency'!AI25*Inflator!$B$8</f>
        <v>0</v>
      </c>
      <c r="AJ25" s="52">
        <f>'FY 2013 by Agency'!AJ25*Inflator!$B$8</f>
        <v>0</v>
      </c>
      <c r="AK25" s="52">
        <f>'FY 2013 by Agency'!AK25</f>
        <v>23697</v>
      </c>
      <c r="AL25" s="52">
        <f>'FY 2013 by Agency'!AL25</f>
        <v>0</v>
      </c>
      <c r="AM25" s="52">
        <f>'FY 2013 by Agency'!AM25</f>
        <v>23697</v>
      </c>
      <c r="AN25" s="52">
        <f>'FY 2013 by Agency'!AN25</f>
        <v>12209</v>
      </c>
      <c r="AO25" s="52">
        <f>'FY 2013 by Agency'!AO25</f>
        <v>27295</v>
      </c>
      <c r="AP25" s="52">
        <f>'FY 2013 by Agency'!AP25</f>
        <v>7414</v>
      </c>
      <c r="AQ25" s="52">
        <f>'FY 2013 by Agency'!AQ25</f>
        <v>601</v>
      </c>
      <c r="AR25" s="52">
        <f>'FY 2013 by Agency'!AR25</f>
        <v>8015</v>
      </c>
      <c r="AS25" s="52">
        <f>'FY 2013 by Agency'!AS25</f>
        <v>8015</v>
      </c>
      <c r="AT25" s="52" t="e">
        <f t="shared" si="20"/>
        <v>#REF!</v>
      </c>
      <c r="AU25" s="58" t="e">
        <f t="shared" si="21"/>
        <v>#REF!</v>
      </c>
      <c r="AV25" s="52">
        <f t="shared" si="22"/>
        <v>-23585.761278195492</v>
      </c>
      <c r="AW25" s="58">
        <f t="shared" si="23"/>
        <v>-0.74636686979024314</v>
      </c>
      <c r="AX25" s="279" t="s">
        <v>267</v>
      </c>
      <c r="AY25" s="280">
        <v>26313.013590000002</v>
      </c>
      <c r="AZ25" s="280">
        <f t="shared" si="24"/>
        <v>-981.9864099999977</v>
      </c>
      <c r="BA25" s="280">
        <f t="shared" si="25"/>
        <v>-24567.74768819549</v>
      </c>
      <c r="BB25" s="280">
        <f t="shared" si="26"/>
        <v>7033.0135900000023</v>
      </c>
      <c r="BC25" s="58">
        <f t="shared" si="27"/>
        <v>-0.77744164046918773</v>
      </c>
      <c r="BD25" s="291">
        <v>665.59400000000005</v>
      </c>
      <c r="BE25" s="51">
        <f t="shared" si="5"/>
        <v>2.5295240232496685E-2</v>
      </c>
      <c r="BF25" s="50">
        <v>2233</v>
      </c>
      <c r="BI25" s="219">
        <v>23873</v>
      </c>
      <c r="BJ25" s="280">
        <f t="shared" si="28"/>
        <v>-2440.0135900000023</v>
      </c>
      <c r="BK25" s="65">
        <f t="shared" si="29"/>
        <v>31888</v>
      </c>
      <c r="BL25" s="561">
        <f>'FY 2013 by Agency'!AS25*Inflator!$E$13</f>
        <v>8310.9459871834006</v>
      </c>
      <c r="BM25" s="52">
        <f t="shared" si="30"/>
        <v>-23289.815291012092</v>
      </c>
      <c r="BN25" s="51">
        <f t="shared" si="31"/>
        <v>-0.73700171606568388</v>
      </c>
      <c r="BO25" s="52">
        <f>'FY 2013 by Agency'!AX25*Inflator!$E$13</f>
        <v>24754.487030820877</v>
      </c>
      <c r="BP25" s="52">
        <f t="shared" si="32"/>
        <v>-6846.2742473746148</v>
      </c>
      <c r="BQ25" s="51">
        <f t="shared" si="33"/>
        <v>-0.21664902902508681</v>
      </c>
      <c r="BR25" s="52">
        <f>'FY 2013 by Agency'!BE25*Inflator!$E$14</f>
        <v>158558.45207524634</v>
      </c>
      <c r="BS25" s="52">
        <f t="shared" si="34"/>
        <v>133803.96504442545</v>
      </c>
      <c r="BT25" s="51">
        <f t="shared" si="35"/>
        <v>5.4052408711936222</v>
      </c>
      <c r="BU25" s="52">
        <f>'FY 2013 by Agency'!BL25*Inflator!$E$14</f>
        <v>158939.95341893105</v>
      </c>
      <c r="BV25" s="10">
        <f t="shared" si="36"/>
        <v>150629.00743174765</v>
      </c>
      <c r="BW25" s="487">
        <f>251379-47782-9794</f>
        <v>193803</v>
      </c>
      <c r="BX25" s="39">
        <f>'FY 2013 by Agency'!BW25*Inflator!E15</f>
        <v>203265.571</v>
      </c>
      <c r="BY25" s="681">
        <f>250917-47782-9794</f>
        <v>193341</v>
      </c>
      <c r="BZ25" s="39">
        <f t="shared" si="37"/>
        <v>35244.547924753657</v>
      </c>
      <c r="CA25" s="51">
        <f t="shared" si="38"/>
        <v>0.22228110493931799</v>
      </c>
      <c r="CC25" s="39"/>
    </row>
    <row r="26" spans="1:81" ht="18" customHeight="1">
      <c r="A26" s="53" t="s">
        <v>2</v>
      </c>
      <c r="B26" s="322">
        <f>'FY 2013 by Agency'!B26*Inflator!$E$2</f>
        <v>917.24322169059019</v>
      </c>
      <c r="C26" s="322">
        <f>'FY 2013 by Agency'!C26*Inflator!$E$3</f>
        <v>968.98145285935095</v>
      </c>
      <c r="D26" s="322">
        <f t="shared" si="6"/>
        <v>51.738231168760763</v>
      </c>
      <c r="E26" s="351">
        <f t="shared" si="7"/>
        <v>5.6406228953538563E-2</v>
      </c>
      <c r="F26" s="10">
        <f>'FY 2013 by Agency'!F26*Inflator!$E$4</f>
        <v>874.39969547011799</v>
      </c>
      <c r="G26" s="10">
        <f t="shared" si="8"/>
        <v>-94.581757389232962</v>
      </c>
      <c r="H26" s="14">
        <f t="shared" si="9"/>
        <v>-9.7609461058447769E-2</v>
      </c>
      <c r="I26" s="10">
        <f>'FY 2013 by Agency'!I26*Inflator!$E$5</f>
        <v>717.76273707698044</v>
      </c>
      <c r="J26" s="10">
        <f t="shared" si="10"/>
        <v>-156.63695839313755</v>
      </c>
      <c r="K26" s="14">
        <f t="shared" si="11"/>
        <v>-0.17913656558277072</v>
      </c>
      <c r="L26" s="10">
        <f>'FY 2013 by Agency'!L26*Inflator!$E$6</f>
        <v>884.39403853144302</v>
      </c>
      <c r="M26" s="10">
        <f t="shared" si="12"/>
        <v>166.63130145446257</v>
      </c>
      <c r="N26" s="14">
        <f t="shared" si="13"/>
        <v>0.23215373666937975</v>
      </c>
      <c r="O26" s="10">
        <f>'FY 2013 by Agency'!O26*Inflator!$E$7</f>
        <v>914.98416050686365</v>
      </c>
      <c r="P26" s="52">
        <f t="shared" si="14"/>
        <v>30.590121975420629</v>
      </c>
      <c r="Q26" s="58">
        <f t="shared" si="0"/>
        <v>3.458879259997754E-2</v>
      </c>
      <c r="R26" s="52">
        <f>'FY 2013 by Agency'!R26*Inflator!$E$8</f>
        <v>860.45756958587913</v>
      </c>
      <c r="S26" s="52">
        <f t="shared" si="1"/>
        <v>-54.526590920984518</v>
      </c>
      <c r="T26" s="58">
        <f t="shared" si="2"/>
        <v>-5.9592934254489201E-2</v>
      </c>
      <c r="U26" s="52">
        <f>'FY 2013 by Agency'!U26*Inflator!$E$9</f>
        <v>874.28647214854107</v>
      </c>
      <c r="V26" s="52">
        <f t="shared" si="15"/>
        <v>13.828902562661938</v>
      </c>
      <c r="W26" s="58">
        <f t="shared" si="16"/>
        <v>1.6071568257941538E-2</v>
      </c>
      <c r="X26" s="52">
        <f>'FY 2013 by Agency'!X26*Inflator!$E$10</f>
        <v>1014.3283582089554</v>
      </c>
      <c r="Y26" s="39">
        <f t="shared" si="17"/>
        <v>140.0418860604143</v>
      </c>
      <c r="Z26" s="58">
        <f t="shared" si="40"/>
        <v>0.16017848899830767</v>
      </c>
      <c r="AA26" s="52">
        <f>'FY 2013 by Agency'!AA26*Inflator!$E$11</f>
        <v>1052.2000637145591</v>
      </c>
      <c r="AB26" s="39">
        <f t="shared" si="3"/>
        <v>37.8717055056037</v>
      </c>
      <c r="AC26" s="58">
        <f t="shared" si="4"/>
        <v>3.7336731443134895E-2</v>
      </c>
      <c r="AD26" s="52" t="e">
        <f>'FY 2013 by Agency'!AD26*Inflator!#REF!</f>
        <v>#REF!</v>
      </c>
      <c r="AE26" s="52">
        <f>'FY 2013 by Agency'!AE26*Inflator!$B$8</f>
        <v>0</v>
      </c>
      <c r="AF26" s="52">
        <f>'FY 2013 by Agency'!AF26*Inflator!$E$12</f>
        <v>1098.6015037593986</v>
      </c>
      <c r="AG26" s="52">
        <f t="shared" si="18"/>
        <v>46.401440044839546</v>
      </c>
      <c r="AH26" s="58">
        <f t="shared" si="19"/>
        <v>4.4099446146229598E-2</v>
      </c>
      <c r="AI26" s="52">
        <f>'FY 2013 by Agency'!AI26*Inflator!$B$8</f>
        <v>0</v>
      </c>
      <c r="AJ26" s="52">
        <f>'FY 2013 by Agency'!AJ26*Inflator!$B$8</f>
        <v>0</v>
      </c>
      <c r="AK26" s="52">
        <f>'FY 2013 by Agency'!AK26</f>
        <v>1135</v>
      </c>
      <c r="AL26" s="52">
        <f>'FY 2013 by Agency'!AL26</f>
        <v>0</v>
      </c>
      <c r="AM26" s="52">
        <f>'FY 2013 by Agency'!AM26</f>
        <v>1135</v>
      </c>
      <c r="AN26" s="52">
        <f>'FY 2013 by Agency'!AN26</f>
        <v>840</v>
      </c>
      <c r="AO26" s="52">
        <f>'FY 2013 by Agency'!AO26</f>
        <v>840</v>
      </c>
      <c r="AP26" s="52">
        <f>'FY 2013 by Agency'!AP26</f>
        <v>273</v>
      </c>
      <c r="AQ26" s="52">
        <f>'FY 2013 by Agency'!AQ26</f>
        <v>1</v>
      </c>
      <c r="AR26" s="52">
        <f>'FY 2013 by Agency'!AR26</f>
        <v>274</v>
      </c>
      <c r="AS26" s="52">
        <f>'FY 2013 by Agency'!AS26</f>
        <v>1038.7491199999999</v>
      </c>
      <c r="AT26" s="52" t="e">
        <f t="shared" si="20"/>
        <v>#REF!</v>
      </c>
      <c r="AU26" s="58" t="e">
        <f t="shared" si="21"/>
        <v>#REF!</v>
      </c>
      <c r="AV26" s="52">
        <f t="shared" si="22"/>
        <v>-59.852383759398663</v>
      </c>
      <c r="AW26" s="58">
        <f t="shared" si="23"/>
        <v>-5.4480522331877994E-2</v>
      </c>
      <c r="AX26" s="279" t="s">
        <v>268</v>
      </c>
      <c r="AY26" s="280">
        <v>790</v>
      </c>
      <c r="AZ26" s="280">
        <f t="shared" si="24"/>
        <v>-50</v>
      </c>
      <c r="BA26" s="280">
        <f t="shared" si="25"/>
        <v>-109.85238375939866</v>
      </c>
      <c r="BB26" s="280">
        <f t="shared" si="26"/>
        <v>988.74911999999995</v>
      </c>
      <c r="BC26" s="58">
        <f t="shared" si="27"/>
        <v>-9.9992930451565321E-2</v>
      </c>
      <c r="BD26" s="291">
        <v>0</v>
      </c>
      <c r="BE26" s="51">
        <f t="shared" si="5"/>
        <v>0</v>
      </c>
      <c r="BF26" s="50">
        <v>2</v>
      </c>
      <c r="BI26" s="219">
        <v>774</v>
      </c>
      <c r="BJ26" s="280">
        <f t="shared" si="28"/>
        <v>-16</v>
      </c>
      <c r="BK26" s="65">
        <f t="shared" si="29"/>
        <v>1048</v>
      </c>
      <c r="BL26" s="561">
        <f>'FY 2013 by Agency'!AS26*Inflator!$E$13</f>
        <v>1077.10390898993</v>
      </c>
      <c r="BM26" s="52">
        <f t="shared" si="30"/>
        <v>-21.497594769468606</v>
      </c>
      <c r="BN26" s="51">
        <f t="shared" si="31"/>
        <v>-1.9568146134794229E-2</v>
      </c>
      <c r="BO26" s="52">
        <f>'FY 2013 by Agency'!AX26*Inflator!$E$13</f>
        <v>802.57918828196534</v>
      </c>
      <c r="BP26" s="52">
        <f t="shared" si="32"/>
        <v>-296.02231547743327</v>
      </c>
      <c r="BQ26" s="51">
        <f t="shared" si="33"/>
        <v>-0.26945376869087578</v>
      </c>
      <c r="BR26" s="52">
        <f>'FY 2013 by Agency'!BE26*Inflator!$E$14</f>
        <v>807.64646163033751</v>
      </c>
      <c r="BS26" s="52">
        <f t="shared" si="34"/>
        <v>5.0672733483721686</v>
      </c>
      <c r="BT26" s="51">
        <f t="shared" si="35"/>
        <v>6.3137362921400772E-3</v>
      </c>
      <c r="BU26" s="52">
        <f>'FY 2013 by Agency'!BL26*Inflator!$E$14</f>
        <v>872.58286055538974</v>
      </c>
      <c r="BV26" s="10">
        <f t="shared" si="36"/>
        <v>-204.52104843454026</v>
      </c>
      <c r="BW26" s="487">
        <v>847</v>
      </c>
      <c r="BX26" s="39">
        <f>'FY 2013 by Agency'!BW26*Inflator!E15</f>
        <v>929.50800000000004</v>
      </c>
      <c r="BY26" s="681">
        <v>1051</v>
      </c>
      <c r="BZ26" s="39">
        <f t="shared" si="37"/>
        <v>39.353538369662488</v>
      </c>
      <c r="CA26" s="51">
        <f t="shared" si="38"/>
        <v>4.8726194243731778E-2</v>
      </c>
      <c r="CC26" s="39"/>
    </row>
    <row r="27" spans="1:81" ht="18" customHeight="1">
      <c r="A27" s="53" t="s">
        <v>3</v>
      </c>
      <c r="B27" s="322">
        <f>'FY 2013 by Agency'!B27*Inflator!$E$2</f>
        <v>4784.0263157894742</v>
      </c>
      <c r="C27" s="322">
        <f>'FY 2013 by Agency'!C27*Inflator!$E$3</f>
        <v>4288.2024729520872</v>
      </c>
      <c r="D27" s="322">
        <f t="shared" si="6"/>
        <v>-495.82384283738702</v>
      </c>
      <c r="E27" s="351">
        <f t="shared" si="7"/>
        <v>-0.10364153750595845</v>
      </c>
      <c r="F27" s="10">
        <f>'FY 2013 by Agency'!F27*Inflator!$E$4</f>
        <v>4867.4054054054059</v>
      </c>
      <c r="G27" s="10">
        <f t="shared" si="8"/>
        <v>579.20293245331868</v>
      </c>
      <c r="H27" s="14">
        <f t="shared" si="9"/>
        <v>0.13506893298687536</v>
      </c>
      <c r="I27" s="10">
        <f>'FY 2013 by Agency'!I27*Inflator!$E$5</f>
        <v>4352.0684269245075</v>
      </c>
      <c r="J27" s="10">
        <f t="shared" si="10"/>
        <v>-515.33697848089832</v>
      </c>
      <c r="K27" s="14">
        <f t="shared" si="11"/>
        <v>-0.10587508858592311</v>
      </c>
      <c r="L27" s="10">
        <f>'FY 2013 by Agency'!L27*Inflator!$E$6</f>
        <v>5492.8774990912389</v>
      </c>
      <c r="M27" s="10">
        <f t="shared" si="12"/>
        <v>1140.8090721667313</v>
      </c>
      <c r="N27" s="14">
        <f t="shared" si="13"/>
        <v>0.26213031603754244</v>
      </c>
      <c r="O27" s="10">
        <f>'FY 2013 by Agency'!O27*Inflator!$E$7</f>
        <v>5172.9496656106994</v>
      </c>
      <c r="P27" s="52">
        <f t="shared" si="14"/>
        <v>-319.92783348053945</v>
      </c>
      <c r="Q27" s="58">
        <f t="shared" si="0"/>
        <v>-5.8244123145558852E-2</v>
      </c>
      <c r="R27" s="52">
        <f>'FY 2013 by Agency'!R27*Inflator!$E$8</f>
        <v>5402.6585200271547</v>
      </c>
      <c r="S27" s="52">
        <f t="shared" si="1"/>
        <v>229.70885441645532</v>
      </c>
      <c r="T27" s="58">
        <f t="shared" si="2"/>
        <v>4.4405777992300791E-2</v>
      </c>
      <c r="U27" s="52">
        <f>'FY 2013 by Agency'!U27*Inflator!$E$9</f>
        <v>6719.3872679045089</v>
      </c>
      <c r="V27" s="52">
        <f t="shared" si="15"/>
        <v>1316.7287478773542</v>
      </c>
      <c r="W27" s="58">
        <f t="shared" si="16"/>
        <v>0.2437186697986487</v>
      </c>
      <c r="X27" s="52">
        <f>'FY 2013 by Agency'!X27*Inflator!$E$10</f>
        <v>5659.7364242616713</v>
      </c>
      <c r="Y27" s="39">
        <f t="shared" si="17"/>
        <v>-1059.6508436428376</v>
      </c>
      <c r="Z27" s="58">
        <f t="shared" si="40"/>
        <v>-0.15770051663852047</v>
      </c>
      <c r="AA27" s="52">
        <f>'FY 2013 by Agency'!AA27*Inflator!$E$11</f>
        <v>5774.1102261866845</v>
      </c>
      <c r="AB27" s="39">
        <f t="shared" si="3"/>
        <v>114.37380192501314</v>
      </c>
      <c r="AC27" s="58">
        <f t="shared" si="4"/>
        <v>2.0208326563534895E-2</v>
      </c>
      <c r="AD27" s="52" t="e">
        <f>'FY 2013 by Agency'!AD27*Inflator!#REF!</f>
        <v>#REF!</v>
      </c>
      <c r="AE27" s="52">
        <f>'FY 2013 by Agency'!AE27*Inflator!$B$8</f>
        <v>0</v>
      </c>
      <c r="AF27" s="52">
        <f>'FY 2013 by Agency'!AF27*Inflator!$E$12</f>
        <v>5317.3590225563912</v>
      </c>
      <c r="AG27" s="52">
        <f t="shared" si="18"/>
        <v>-456.75120363029328</v>
      </c>
      <c r="AH27" s="58">
        <f t="shared" si="19"/>
        <v>-7.9103305225944595E-2</v>
      </c>
      <c r="AI27" s="52">
        <f>'FY 2013 by Agency'!AI27*Inflator!$B$8</f>
        <v>0</v>
      </c>
      <c r="AJ27" s="52">
        <f>'FY 2013 by Agency'!AJ27*Inflator!$B$8</f>
        <v>0</v>
      </c>
      <c r="AK27" s="52">
        <f>'FY 2013 by Agency'!AK27</f>
        <v>5247</v>
      </c>
      <c r="AL27" s="52">
        <f>'FY 2013 by Agency'!AL27</f>
        <v>0</v>
      </c>
      <c r="AM27" s="52">
        <f>'FY 2013 by Agency'!AM27</f>
        <v>5247</v>
      </c>
      <c r="AN27" s="52">
        <f>'FY 2013 by Agency'!AN27</f>
        <v>3968</v>
      </c>
      <c r="AO27" s="52">
        <f>'FY 2013 by Agency'!AO27</f>
        <v>3968</v>
      </c>
      <c r="AP27" s="52">
        <f>'FY 2013 by Agency'!AP27</f>
        <v>754</v>
      </c>
      <c r="AQ27" s="52">
        <f>'FY 2013 by Agency'!AQ27</f>
        <v>75</v>
      </c>
      <c r="AR27" s="52">
        <f>'FY 2013 by Agency'!AR27</f>
        <v>829</v>
      </c>
      <c r="AS27" s="52">
        <f>'FY 2013 by Agency'!AS27</f>
        <v>5364.7534599999999</v>
      </c>
      <c r="AT27" s="52" t="e">
        <f t="shared" si="20"/>
        <v>#REF!</v>
      </c>
      <c r="AU27" s="58" t="e">
        <f t="shared" si="21"/>
        <v>#REF!</v>
      </c>
      <c r="AV27" s="52">
        <f t="shared" si="22"/>
        <v>47.394437443608695</v>
      </c>
      <c r="AW27" s="58">
        <f t="shared" si="23"/>
        <v>8.9131535490757936E-3</v>
      </c>
      <c r="AX27" s="279" t="s">
        <v>269</v>
      </c>
      <c r="AY27" s="280">
        <v>4132.5792199999996</v>
      </c>
      <c r="AZ27" s="280">
        <f t="shared" si="24"/>
        <v>164.57921999999962</v>
      </c>
      <c r="BA27" s="280">
        <f t="shared" si="25"/>
        <v>211.97365744360832</v>
      </c>
      <c r="BB27" s="280">
        <f t="shared" si="26"/>
        <v>5529.3326799999995</v>
      </c>
      <c r="BC27" s="58">
        <f t="shared" si="27"/>
        <v>3.9864462140775103E-2</v>
      </c>
      <c r="BD27" s="291">
        <v>0</v>
      </c>
      <c r="BE27" s="51">
        <f t="shared" si="5"/>
        <v>0</v>
      </c>
      <c r="BI27" s="219">
        <v>4085</v>
      </c>
      <c r="BJ27" s="280">
        <f t="shared" si="28"/>
        <v>-47.579219999999623</v>
      </c>
      <c r="BK27" s="65">
        <f t="shared" si="29"/>
        <v>4914</v>
      </c>
      <c r="BL27" s="561">
        <f>'FY 2013 by Agency'!AS27*Inflator!$E$13</f>
        <v>5562.8417018858718</v>
      </c>
      <c r="BM27" s="52">
        <f t="shared" si="30"/>
        <v>245.48267932948056</v>
      </c>
      <c r="BN27" s="51">
        <f t="shared" si="31"/>
        <v>4.6166278840329554E-2</v>
      </c>
      <c r="BO27" s="52">
        <f>'FY 2013 by Agency'!AX27*Inflator!$E$13</f>
        <v>4235.8346048214835</v>
      </c>
      <c r="BP27" s="52">
        <f t="shared" si="32"/>
        <v>-1081.5244177349077</v>
      </c>
      <c r="BQ27" s="51">
        <f t="shared" si="33"/>
        <v>-0.20339503372765499</v>
      </c>
      <c r="BR27" s="52">
        <f>'FY 2013 by Agency'!BE27*Inflator!$E$14</f>
        <v>4330.4461033144225</v>
      </c>
      <c r="BS27" s="52">
        <f t="shared" si="34"/>
        <v>94.611498492939063</v>
      </c>
      <c r="BT27" s="51">
        <f t="shared" si="35"/>
        <v>2.2335975626915774E-2</v>
      </c>
      <c r="BU27" s="52">
        <f>'FY 2013 by Agency'!BL27*Inflator!$E$14</f>
        <v>5467.8477157360412</v>
      </c>
      <c r="BV27" s="10">
        <f t="shared" si="36"/>
        <v>-94.993986149830562</v>
      </c>
      <c r="BW27" s="487">
        <v>5836</v>
      </c>
      <c r="BX27" s="39">
        <f>'FY 2013 by Agency'!BW27*Inflator!E15</f>
        <v>6818.4050000000007</v>
      </c>
      <c r="BY27" s="681">
        <v>5812</v>
      </c>
      <c r="BZ27" s="39">
        <f t="shared" si="37"/>
        <v>1505.5538966855775</v>
      </c>
      <c r="CA27" s="51">
        <f t="shared" si="38"/>
        <v>0.34766715963356792</v>
      </c>
      <c r="CC27" s="39"/>
    </row>
    <row r="28" spans="1:81" ht="18" customHeight="1">
      <c r="A28" s="53" t="s">
        <v>4</v>
      </c>
      <c r="B28" s="322">
        <f>'FY 2013 by Agency'!B28*Inflator!$E$2</f>
        <v>1292.5406698564593</v>
      </c>
      <c r="C28" s="322">
        <f>'FY 2013 by Agency'!C28*Inflator!$E$3</f>
        <v>1654.3585780525502</v>
      </c>
      <c r="D28" s="322">
        <f t="shared" si="6"/>
        <v>361.81790819609091</v>
      </c>
      <c r="E28" s="351">
        <f t="shared" si="7"/>
        <v>0.27992767781633665</v>
      </c>
      <c r="F28" s="10">
        <f>'FY 2013 by Agency'!F28*Inflator!$E$4</f>
        <v>1668.6029691663496</v>
      </c>
      <c r="G28" s="10">
        <f t="shared" si="8"/>
        <v>14.244391113799338</v>
      </c>
      <c r="H28" s="14">
        <f t="shared" si="9"/>
        <v>8.6102198778255853E-3</v>
      </c>
      <c r="I28" s="10">
        <f>'FY 2013 by Agency'!I28*Inflator!$E$5</f>
        <v>1573.265154332466</v>
      </c>
      <c r="J28" s="10">
        <f t="shared" si="10"/>
        <v>-95.337814833883613</v>
      </c>
      <c r="K28" s="14">
        <f t="shared" si="11"/>
        <v>-5.7136308993574018E-2</v>
      </c>
      <c r="L28" s="10">
        <f>'FY 2013 by Agency'!L28*Inflator!$E$6</f>
        <v>1579.8044347509995</v>
      </c>
      <c r="M28" s="10">
        <f t="shared" si="12"/>
        <v>6.5392804185335081</v>
      </c>
      <c r="N28" s="14">
        <f t="shared" si="13"/>
        <v>4.1565024182513687E-3</v>
      </c>
      <c r="O28" s="10">
        <f>'FY 2013 by Agency'!O28*Inflator!$E$7</f>
        <v>1545.3065821893697</v>
      </c>
      <c r="P28" s="52">
        <f t="shared" si="14"/>
        <v>-34.49785256162977</v>
      </c>
      <c r="Q28" s="58">
        <f t="shared" si="0"/>
        <v>-2.1836786758398449E-2</v>
      </c>
      <c r="R28" s="52">
        <f>'FY 2013 by Agency'!R28*Inflator!$E$8</f>
        <v>1630.9477257298031</v>
      </c>
      <c r="S28" s="52">
        <f t="shared" si="1"/>
        <v>85.641143540433404</v>
      </c>
      <c r="T28" s="58">
        <f t="shared" si="2"/>
        <v>5.5420163563335227E-2</v>
      </c>
      <c r="U28" s="52">
        <f>'FY 2013 by Agency'!U28*Inflator!$E$9</f>
        <v>1684.3534482758619</v>
      </c>
      <c r="V28" s="52">
        <f t="shared" si="15"/>
        <v>53.405722546058769</v>
      </c>
      <c r="W28" s="58">
        <f t="shared" si="16"/>
        <v>3.2745208018338669E-2</v>
      </c>
      <c r="X28" s="52">
        <f>'FY 2013 by Agency'!X28*Inflator!$E$10</f>
        <v>1714.646554461734</v>
      </c>
      <c r="Y28" s="39">
        <f t="shared" si="17"/>
        <v>30.293106185872148</v>
      </c>
      <c r="Z28" s="58">
        <f t="shared" si="40"/>
        <v>1.7985005591837498E-2</v>
      </c>
      <c r="AA28" s="52">
        <f>'FY 2013 by Agency'!AA28*Inflator!$E$11</f>
        <v>1863.0003185727942</v>
      </c>
      <c r="AB28" s="39">
        <f t="shared" si="3"/>
        <v>148.35376411106017</v>
      </c>
      <c r="AC28" s="58">
        <f t="shared" si="4"/>
        <v>8.6521483815439587E-2</v>
      </c>
      <c r="AD28" s="52" t="e">
        <f>'FY 2013 by Agency'!AD28*Inflator!#REF!</f>
        <v>#REF!</v>
      </c>
      <c r="AE28" s="52">
        <f>'FY 2013 by Agency'!AE28*Inflator!$B$8</f>
        <v>0</v>
      </c>
      <c r="AF28" s="52">
        <f>'FY 2013 by Agency'!AF28*Inflator!$E$12</f>
        <v>1741.5814536340854</v>
      </c>
      <c r="AG28" s="52">
        <f t="shared" si="18"/>
        <v>-121.41886493870879</v>
      </c>
      <c r="AH28" s="58">
        <f t="shared" si="19"/>
        <v>-6.517382940209332E-2</v>
      </c>
      <c r="AI28" s="52">
        <f>'FY 2013 by Agency'!AI28*Inflator!$B$8</f>
        <v>0</v>
      </c>
      <c r="AJ28" s="52">
        <f>'FY 2013 by Agency'!AJ28*Inflator!$B$8</f>
        <v>0</v>
      </c>
      <c r="AK28" s="52">
        <f>'FY 2013 by Agency'!AK28</f>
        <v>1702</v>
      </c>
      <c r="AL28" s="52">
        <f>'FY 2013 by Agency'!AL28</f>
        <v>0</v>
      </c>
      <c r="AM28" s="52">
        <f>'FY 2013 by Agency'!AM28</f>
        <v>1702</v>
      </c>
      <c r="AN28" s="52">
        <f>'FY 2013 by Agency'!AN28</f>
        <v>1395</v>
      </c>
      <c r="AO28" s="52">
        <f>'FY 2013 by Agency'!AO28</f>
        <v>1395</v>
      </c>
      <c r="AP28" s="52">
        <f>'FY 2013 by Agency'!AP28</f>
        <v>168</v>
      </c>
      <c r="AQ28" s="52">
        <f>'FY 2013 by Agency'!AQ28</f>
        <v>2</v>
      </c>
      <c r="AR28" s="52">
        <f>'FY 2013 by Agency'!AR28</f>
        <v>170</v>
      </c>
      <c r="AS28" s="52">
        <f>'FY 2013 by Agency'!AS28</f>
        <v>1543.7620399999998</v>
      </c>
      <c r="AT28" s="52" t="e">
        <f t="shared" si="20"/>
        <v>#REF!</v>
      </c>
      <c r="AU28" s="58" t="e">
        <f t="shared" si="21"/>
        <v>#REF!</v>
      </c>
      <c r="AV28" s="52">
        <f t="shared" si="22"/>
        <v>-197.81941363408555</v>
      </c>
      <c r="AW28" s="58">
        <f t="shared" si="23"/>
        <v>-0.11358608190349295</v>
      </c>
      <c r="AX28" s="279" t="s">
        <v>270</v>
      </c>
      <c r="AY28" s="280">
        <v>1443.0546899999999</v>
      </c>
      <c r="AZ28" s="280">
        <f t="shared" si="24"/>
        <v>48.054689999999937</v>
      </c>
      <c r="BA28" s="280">
        <f t="shared" si="25"/>
        <v>-149.76472363408561</v>
      </c>
      <c r="BB28" s="280">
        <f t="shared" si="26"/>
        <v>1591.8167299999998</v>
      </c>
      <c r="BC28" s="58">
        <f t="shared" si="27"/>
        <v>-8.599352233659685E-2</v>
      </c>
      <c r="BD28" s="291">
        <v>0</v>
      </c>
      <c r="BE28" s="51">
        <f t="shared" si="5"/>
        <v>0</v>
      </c>
      <c r="BF28" s="50">
        <v>6</v>
      </c>
      <c r="BI28" s="219">
        <v>1415</v>
      </c>
      <c r="BJ28" s="280">
        <f t="shared" si="28"/>
        <v>-28.054689999999937</v>
      </c>
      <c r="BK28" s="65">
        <f t="shared" si="29"/>
        <v>1585</v>
      </c>
      <c r="BL28" s="561">
        <f>'FY 2013 by Agency'!AS28*Inflator!$E$13</f>
        <v>1600.7639340616417</v>
      </c>
      <c r="BM28" s="52">
        <f t="shared" si="30"/>
        <v>-140.81751957244364</v>
      </c>
      <c r="BN28" s="51">
        <f t="shared" si="31"/>
        <v>-8.0856120325928829E-2</v>
      </c>
      <c r="BO28" s="52">
        <f>'FY 2013 by Agency'!AX28*Inflator!$E$13</f>
        <v>1467.2474824534638</v>
      </c>
      <c r="BP28" s="52">
        <f t="shared" si="32"/>
        <v>-274.33397118062157</v>
      </c>
      <c r="BQ28" s="51">
        <f t="shared" si="33"/>
        <v>-0.15752003479836119</v>
      </c>
      <c r="BR28" s="52">
        <f>'FY 2013 by Agency'!BE28*Inflator!$E$14</f>
        <v>1427.5861451179458</v>
      </c>
      <c r="BS28" s="52">
        <f t="shared" si="34"/>
        <v>-39.661337335518056</v>
      </c>
      <c r="BT28" s="51">
        <f t="shared" si="35"/>
        <v>-2.7031116297571142E-2</v>
      </c>
      <c r="BU28" s="52">
        <f>'FY 2013 by Agency'!BL28*Inflator!$E$14</f>
        <v>1599.0588235294119</v>
      </c>
      <c r="BV28" s="10">
        <f t="shared" si="36"/>
        <v>-1.7051105322298099</v>
      </c>
      <c r="BW28" s="487">
        <v>1474</v>
      </c>
      <c r="BX28" s="39">
        <f>'FY 2013 by Agency'!BW28*Inflator!E15</f>
        <v>1644.364</v>
      </c>
      <c r="BY28" s="681">
        <v>2601</v>
      </c>
      <c r="BZ28" s="39">
        <f t="shared" si="37"/>
        <v>46.413854882054238</v>
      </c>
      <c r="CA28" s="51">
        <f t="shared" si="38"/>
        <v>3.2512121976512716E-2</v>
      </c>
      <c r="CC28" s="39"/>
    </row>
    <row r="29" spans="1:81" ht="18" customHeight="1">
      <c r="A29" s="53" t="s">
        <v>5</v>
      </c>
      <c r="B29" s="322">
        <f>'FY 2013 by Agency'!B29*Inflator!$E$2</f>
        <v>669.30303030303037</v>
      </c>
      <c r="C29" s="322">
        <f>'FY 2013 by Agency'!C29*Inflator!$E$3</f>
        <v>769.40803709428133</v>
      </c>
      <c r="D29" s="322">
        <f t="shared" si="6"/>
        <v>100.10500679125096</v>
      </c>
      <c r="E29" s="351">
        <f t="shared" si="7"/>
        <v>0.14956604446558072</v>
      </c>
      <c r="F29" s="10">
        <f>'FY 2013 by Agency'!F29*Inflator!$E$4</f>
        <v>805.84468976018275</v>
      </c>
      <c r="G29" s="10">
        <f t="shared" si="8"/>
        <v>36.43665266590142</v>
      </c>
      <c r="H29" s="14">
        <f t="shared" si="9"/>
        <v>4.7356735190220746E-2</v>
      </c>
      <c r="I29" s="10">
        <f>'FY 2013 by Agency'!I29*Inflator!$E$5</f>
        <v>788.52807735217561</v>
      </c>
      <c r="J29" s="10">
        <f t="shared" si="10"/>
        <v>-17.316612408007131</v>
      </c>
      <c r="K29" s="14">
        <f t="shared" si="11"/>
        <v>-2.1488771506530009E-2</v>
      </c>
      <c r="L29" s="10">
        <f>'FY 2013 by Agency'!L29*Inflator!$E$6</f>
        <v>806.57724463831323</v>
      </c>
      <c r="M29" s="10">
        <f t="shared" si="12"/>
        <v>18.049167286137617</v>
      </c>
      <c r="N29" s="14">
        <f t="shared" si="13"/>
        <v>2.2889695122519302E-2</v>
      </c>
      <c r="O29" s="10">
        <f>'FY 2013 by Agency'!O29*Inflator!$E$7</f>
        <v>815.71136923618428</v>
      </c>
      <c r="P29" s="52">
        <f t="shared" si="14"/>
        <v>9.1341245978710504</v>
      </c>
      <c r="Q29" s="58">
        <f t="shared" si="0"/>
        <v>1.1324550324956155E-2</v>
      </c>
      <c r="R29" s="52">
        <f>'FY 2013 by Agency'!R29*Inflator!$E$8</f>
        <v>884.67956551255929</v>
      </c>
      <c r="S29" s="52">
        <f t="shared" si="1"/>
        <v>68.968196276375011</v>
      </c>
      <c r="T29" s="58">
        <f t="shared" si="2"/>
        <v>8.4549754824375489E-2</v>
      </c>
      <c r="U29" s="52">
        <f>'FY 2013 by Agency'!U29*Inflator!$E$9</f>
        <v>909.2128647214854</v>
      </c>
      <c r="V29" s="52">
        <f t="shared" si="15"/>
        <v>24.53329920892611</v>
      </c>
      <c r="W29" s="58">
        <f t="shared" si="16"/>
        <v>2.7731282789053891E-2</v>
      </c>
      <c r="X29" s="52">
        <f>'FY 2013 by Agency'!X29*Inflator!$E$10</f>
        <v>994.90504922197533</v>
      </c>
      <c r="Y29" s="39">
        <f t="shared" si="17"/>
        <v>85.69218450048993</v>
      </c>
      <c r="Z29" s="58">
        <f t="shared" si="40"/>
        <v>9.424875936697133E-2</v>
      </c>
      <c r="AA29" s="52">
        <f>'FY 2013 by Agency'!AA29*Inflator!$E$11</f>
        <v>1060.8601465434854</v>
      </c>
      <c r="AB29" s="39">
        <f t="shared" si="3"/>
        <v>65.955097321510038</v>
      </c>
      <c r="AC29" s="58">
        <f t="shared" si="4"/>
        <v>6.6292856160582878E-2</v>
      </c>
      <c r="AD29" s="52" t="e">
        <f>'FY 2013 by Agency'!AD29*Inflator!#REF!</f>
        <v>#REF!</v>
      </c>
      <c r="AE29" s="52">
        <f>'FY 2013 by Agency'!AE29*Inflator!$B$8</f>
        <v>0</v>
      </c>
      <c r="AF29" s="52">
        <f>'FY 2013 by Agency'!AF29*Inflator!$E$12</f>
        <v>1123.0858395989976</v>
      </c>
      <c r="AG29" s="52">
        <f t="shared" si="18"/>
        <v>62.225693055512238</v>
      </c>
      <c r="AH29" s="58">
        <f t="shared" si="19"/>
        <v>5.8655887166896757E-2</v>
      </c>
      <c r="AI29" s="52">
        <f>'FY 2013 by Agency'!AI29*Inflator!$B$8</f>
        <v>0</v>
      </c>
      <c r="AJ29" s="52">
        <f>'FY 2013 by Agency'!AJ29*Inflator!$B$8</f>
        <v>0</v>
      </c>
      <c r="AK29" s="52">
        <f>'FY 2013 by Agency'!AK29</f>
        <v>971</v>
      </c>
      <c r="AL29" s="52">
        <f>'FY 2013 by Agency'!AL29</f>
        <v>0</v>
      </c>
      <c r="AM29" s="52">
        <f>'FY 2013 by Agency'!AM29</f>
        <v>971</v>
      </c>
      <c r="AN29" s="52">
        <f>'FY 2013 by Agency'!AN29</f>
        <v>0</v>
      </c>
      <c r="AO29" s="52">
        <f>'FY 2013 by Agency'!AO29</f>
        <v>0</v>
      </c>
      <c r="AP29" s="52">
        <f>'FY 2013 by Agency'!AP29</f>
        <v>0</v>
      </c>
      <c r="AQ29" s="52">
        <f>'FY 2013 by Agency'!AQ29</f>
        <v>0</v>
      </c>
      <c r="AR29" s="52">
        <f>'FY 2013 by Agency'!AR29</f>
        <v>0</v>
      </c>
      <c r="AS29" s="52">
        <f>'FY 2013 by Agency'!AS29</f>
        <v>733.01909999999998</v>
      </c>
      <c r="AT29" s="52" t="e">
        <f t="shared" si="20"/>
        <v>#REF!</v>
      </c>
      <c r="AU29" s="58" t="e">
        <f t="shared" si="21"/>
        <v>#REF!</v>
      </c>
      <c r="AV29" s="52">
        <f t="shared" si="22"/>
        <v>-390.06673959899763</v>
      </c>
      <c r="AW29" s="58">
        <f t="shared" si="23"/>
        <v>-0.34731694216558956</v>
      </c>
      <c r="AX29" s="279" t="s">
        <v>271</v>
      </c>
      <c r="AY29" s="280">
        <v>879</v>
      </c>
      <c r="AZ29" s="280">
        <f t="shared" si="24"/>
        <v>879</v>
      </c>
      <c r="BA29" s="280">
        <f t="shared" si="25"/>
        <v>488.93326040100237</v>
      </c>
      <c r="BB29" s="280">
        <f t="shared" si="26"/>
        <v>1612.0191</v>
      </c>
      <c r="BC29" s="58">
        <f t="shared" si="27"/>
        <v>0.43534807684475663</v>
      </c>
      <c r="BD29" s="291">
        <v>0</v>
      </c>
      <c r="BE29" s="51">
        <f t="shared" si="5"/>
        <v>0</v>
      </c>
      <c r="BI29" s="219">
        <v>869</v>
      </c>
      <c r="BJ29" s="280">
        <f t="shared" si="28"/>
        <v>-10</v>
      </c>
      <c r="BK29" s="65">
        <f t="shared" si="29"/>
        <v>869</v>
      </c>
      <c r="BL29" s="561">
        <f>'FY 2013 by Agency'!AS29*Inflator!$E$13</f>
        <v>760.08510888007334</v>
      </c>
      <c r="BM29" s="52">
        <f t="shared" si="30"/>
        <v>-363.00073071892427</v>
      </c>
      <c r="BN29" s="51">
        <f t="shared" si="31"/>
        <v>-0.32321726258122457</v>
      </c>
      <c r="BO29" s="52">
        <f>'FY 2013 by Agency'!AX29*Inflator!$E$13</f>
        <v>901.0869697894417</v>
      </c>
      <c r="BP29" s="52">
        <f t="shared" si="32"/>
        <v>-221.99886980955591</v>
      </c>
      <c r="BQ29" s="51">
        <f t="shared" si="33"/>
        <v>-0.19766865717835203</v>
      </c>
      <c r="BR29" s="52">
        <f>'FY 2013 by Agency'!BE29*Inflator!$E$14</f>
        <v>964.91430277694838</v>
      </c>
      <c r="BS29" s="52">
        <f t="shared" si="34"/>
        <v>63.827332987506679</v>
      </c>
      <c r="BT29" s="51">
        <f t="shared" si="35"/>
        <v>7.0833709872001924E-2</v>
      </c>
      <c r="BU29" s="52">
        <f>'FY 2013 by Agency'!BL29*Inflator!$E$14</f>
        <v>973.03135264257992</v>
      </c>
      <c r="BV29" s="10">
        <f t="shared" si="36"/>
        <v>212.94624376250658</v>
      </c>
      <c r="BW29" s="39">
        <v>971</v>
      </c>
      <c r="BX29" s="39">
        <f>'FY 2013 by Agency'!BW29*Inflator!E15</f>
        <v>1161.2429999999999</v>
      </c>
      <c r="BY29" s="681">
        <v>1151</v>
      </c>
      <c r="BZ29" s="39">
        <f t="shared" si="37"/>
        <v>6.0856972230516249</v>
      </c>
      <c r="CA29" s="51">
        <f t="shared" si="38"/>
        <v>6.3069820869454014E-3</v>
      </c>
      <c r="CC29" s="39"/>
    </row>
    <row r="30" spans="1:81" ht="18" customHeight="1">
      <c r="A30" s="53" t="s">
        <v>6</v>
      </c>
      <c r="B30" s="322">
        <f>'FY 2013 by Agency'!B30*Inflator!$E$2</f>
        <v>1814.1634768740032</v>
      </c>
      <c r="C30" s="322">
        <f>'FY 2013 by Agency'!C30*Inflator!$E$3</f>
        <v>1838.1761978361671</v>
      </c>
      <c r="D30" s="322">
        <f t="shared" si="6"/>
        <v>24.012720962163939</v>
      </c>
      <c r="E30" s="351">
        <f t="shared" si="7"/>
        <v>1.3236249802327855E-2</v>
      </c>
      <c r="F30" s="10">
        <f>'FY 2013 by Agency'!F30*Inflator!$E$4</f>
        <v>1920.8336505519605</v>
      </c>
      <c r="G30" s="10">
        <f t="shared" si="8"/>
        <v>82.657452715793397</v>
      </c>
      <c r="H30" s="14">
        <f t="shared" si="9"/>
        <v>4.4967099896677305E-2</v>
      </c>
      <c r="I30" s="10">
        <f>'FY 2013 by Agency'!I30*Inflator!$E$5</f>
        <v>1818.4165117143923</v>
      </c>
      <c r="J30" s="10">
        <f t="shared" si="10"/>
        <v>-102.41713883756825</v>
      </c>
      <c r="K30" s="14">
        <f t="shared" si="11"/>
        <v>-5.3319109027550722E-2</v>
      </c>
      <c r="L30" s="10">
        <f>'FY 2013 by Agency'!L30*Inflator!$E$6</f>
        <v>1786.080697928026</v>
      </c>
      <c r="M30" s="10">
        <f t="shared" si="12"/>
        <v>-32.335813786366316</v>
      </c>
      <c r="N30" s="14">
        <f t="shared" si="13"/>
        <v>-1.7782402204366426E-2</v>
      </c>
      <c r="O30" s="10">
        <f>'FY 2013 by Agency'!O30*Inflator!$E$7</f>
        <v>1719.9310102076731</v>
      </c>
      <c r="P30" s="52">
        <f t="shared" si="14"/>
        <v>-66.149687720352858</v>
      </c>
      <c r="Q30" s="58">
        <f t="shared" si="0"/>
        <v>-3.7036225629161638E-2</v>
      </c>
      <c r="R30" s="52">
        <f>'FY 2013 by Agency'!R30*Inflator!$E$8</f>
        <v>1820.1099796334011</v>
      </c>
      <c r="S30" s="52">
        <f t="shared" si="1"/>
        <v>100.17896942572793</v>
      </c>
      <c r="T30" s="58">
        <f t="shared" si="2"/>
        <v>5.8245923139458838E-2</v>
      </c>
      <c r="U30" s="52">
        <f>'FY 2013 by Agency'!U30*Inflator!$E$9</f>
        <v>1861.2387267904508</v>
      </c>
      <c r="V30" s="52">
        <f t="shared" si="15"/>
        <v>41.128747157049702</v>
      </c>
      <c r="W30" s="58">
        <f t="shared" si="16"/>
        <v>2.2596847233008241E-2</v>
      </c>
      <c r="X30" s="52">
        <f>'FY 2013 by Agency'!X30*Inflator!$E$10</f>
        <v>1915.3540806605274</v>
      </c>
      <c r="Y30" s="39">
        <f t="shared" si="17"/>
        <v>54.11535387007666</v>
      </c>
      <c r="Z30" s="58">
        <f t="shared" si="40"/>
        <v>2.9074912901363291E-2</v>
      </c>
      <c r="AA30" s="52">
        <f>'FY 2013 by Agency'!AA30*Inflator!$E$11</f>
        <v>1924.7034087288948</v>
      </c>
      <c r="AB30" s="39">
        <f t="shared" si="3"/>
        <v>9.3493280683674129</v>
      </c>
      <c r="AC30" s="58">
        <f t="shared" si="4"/>
        <v>4.8812531128151568E-3</v>
      </c>
      <c r="AD30" s="52" t="e">
        <f>'FY 2013 by Agency'!AD30*Inflator!#REF!</f>
        <v>#REF!</v>
      </c>
      <c r="AE30" s="52">
        <f>'FY 2013 by Agency'!AE30*Inflator!$B$8</f>
        <v>0</v>
      </c>
      <c r="AF30" s="52">
        <f>'FY 2013 by Agency'!AF30*Inflator!$E$12</f>
        <v>1866.1322055137846</v>
      </c>
      <c r="AG30" s="52">
        <f t="shared" si="18"/>
        <v>-58.571203215110245</v>
      </c>
      <c r="AH30" s="58">
        <f t="shared" si="19"/>
        <v>-3.0431287724372875E-2</v>
      </c>
      <c r="AI30" s="52">
        <f>'FY 2013 by Agency'!AI30*Inflator!$B$8</f>
        <v>0</v>
      </c>
      <c r="AJ30" s="52">
        <f>'FY 2013 by Agency'!AJ30*Inflator!$B$8</f>
        <v>0</v>
      </c>
      <c r="AK30" s="52">
        <f>'FY 2013 by Agency'!AK30</f>
        <v>1970</v>
      </c>
      <c r="AL30" s="52">
        <f>'FY 2013 by Agency'!AL30</f>
        <v>0</v>
      </c>
      <c r="AM30" s="52">
        <f>'FY 2013 by Agency'!AM30</f>
        <v>1970</v>
      </c>
      <c r="AN30" s="52">
        <f>'FY 2013 by Agency'!AN30</f>
        <v>0</v>
      </c>
      <c r="AO30" s="52">
        <f>'FY 2013 by Agency'!AO30</f>
        <v>0</v>
      </c>
      <c r="AP30" s="52">
        <f>'FY 2013 by Agency'!AP30</f>
        <v>0</v>
      </c>
      <c r="AQ30" s="52">
        <f>'FY 2013 by Agency'!AQ30</f>
        <v>0</v>
      </c>
      <c r="AR30" s="52">
        <f>'FY 2013 by Agency'!AR30</f>
        <v>0</v>
      </c>
      <c r="AS30" s="52">
        <f>'FY 2013 by Agency'!AS30</f>
        <v>1115.5742499999999</v>
      </c>
      <c r="AT30" s="52" t="e">
        <f t="shared" si="20"/>
        <v>#REF!</v>
      </c>
      <c r="AU30" s="58" t="e">
        <f t="shared" si="21"/>
        <v>#REF!</v>
      </c>
      <c r="AV30" s="52">
        <f t="shared" si="22"/>
        <v>-750.55795551378469</v>
      </c>
      <c r="AW30" s="58">
        <f t="shared" si="23"/>
        <v>-0.40219977625172632</v>
      </c>
      <c r="AX30" s="279" t="s">
        <v>272</v>
      </c>
      <c r="AY30" s="280">
        <v>1307</v>
      </c>
      <c r="AZ30" s="280">
        <f t="shared" si="24"/>
        <v>1307</v>
      </c>
      <c r="BA30" s="280">
        <f t="shared" si="25"/>
        <v>556.44204448621531</v>
      </c>
      <c r="BB30" s="280">
        <f t="shared" si="26"/>
        <v>2422.5742499999997</v>
      </c>
      <c r="BC30" s="58">
        <f t="shared" si="27"/>
        <v>0.29817932665334124</v>
      </c>
      <c r="BD30" s="291">
        <v>0</v>
      </c>
      <c r="BE30" s="51">
        <f t="shared" si="5"/>
        <v>0</v>
      </c>
      <c r="BI30" s="219">
        <v>1287</v>
      </c>
      <c r="BJ30" s="280">
        <f t="shared" si="28"/>
        <v>-20</v>
      </c>
      <c r="BK30" s="65">
        <f t="shared" si="29"/>
        <v>1287</v>
      </c>
      <c r="BL30" s="561">
        <f>'FY 2013 by Agency'!AS30*Inflator!$E$13</f>
        <v>1156.7657313091242</v>
      </c>
      <c r="BM30" s="52">
        <f t="shared" si="30"/>
        <v>-709.36647420466034</v>
      </c>
      <c r="BN30" s="51">
        <f t="shared" si="31"/>
        <v>-0.38012659130404813</v>
      </c>
      <c r="BO30" s="52">
        <f>'FY 2013 by Agency'!AX30*Inflator!$E$13</f>
        <v>1334.5212084223376</v>
      </c>
      <c r="BP30" s="52">
        <f t="shared" si="32"/>
        <v>-531.61099709144696</v>
      </c>
      <c r="BQ30" s="51">
        <f t="shared" si="33"/>
        <v>-0.28487317003624807</v>
      </c>
      <c r="BR30" s="52">
        <f>'FY 2013 by Agency'!BE30*Inflator!$E$14</f>
        <v>1379.8984771573605</v>
      </c>
      <c r="BS30" s="52">
        <f t="shared" si="34"/>
        <v>45.377268735022881</v>
      </c>
      <c r="BT30" s="51">
        <f t="shared" si="35"/>
        <v>3.4002658368140586E-2</v>
      </c>
      <c r="BU30" s="52">
        <f>'FY 2013 by Agency'!BL30*Inflator!$E$14</f>
        <v>1398.1618393550314</v>
      </c>
      <c r="BV30" s="10">
        <f t="shared" si="36"/>
        <v>241.39610804590711</v>
      </c>
      <c r="BW30" s="39">
        <v>1383</v>
      </c>
      <c r="BX30" s="39">
        <f>'FY 2013 by Agency'!BW30*Inflator!E15</f>
        <v>1742.453</v>
      </c>
      <c r="BY30" s="681">
        <v>1468</v>
      </c>
      <c r="BZ30" s="39">
        <f t="shared" si="37"/>
        <v>3.101522842639497</v>
      </c>
      <c r="CA30" s="51">
        <f t="shared" si="38"/>
        <v>2.2476456739257684E-3</v>
      </c>
      <c r="CC30" s="39"/>
    </row>
    <row r="31" spans="1:81" ht="18" customHeight="1">
      <c r="A31" s="53" t="s">
        <v>7</v>
      </c>
      <c r="B31" s="322">
        <f>'FY 2013 by Agency'!B31*Inflator!$E$2</f>
        <v>497.23524720893147</v>
      </c>
      <c r="C31" s="322">
        <f>'FY 2013 by Agency'!C31*Inflator!$E$3</f>
        <v>481.86476043276667</v>
      </c>
      <c r="D31" s="322">
        <f t="shared" si="6"/>
        <v>-15.370486776164796</v>
      </c>
      <c r="E31" s="351">
        <f t="shared" si="7"/>
        <v>-3.0911901081916517E-2</v>
      </c>
      <c r="F31" s="10">
        <f>'FY 2013 by Agency'!F31*Inflator!$E$4</f>
        <v>474.71107727445758</v>
      </c>
      <c r="G31" s="10">
        <f t="shared" si="8"/>
        <v>-7.153683158309093</v>
      </c>
      <c r="H31" s="14">
        <f t="shared" si="9"/>
        <v>-1.4845831747240266E-2</v>
      </c>
      <c r="I31" s="10">
        <f>'FY 2013 by Agency'!I31*Inflator!$E$5</f>
        <v>501.6757158795092</v>
      </c>
      <c r="J31" s="10">
        <f t="shared" si="10"/>
        <v>26.964638605051618</v>
      </c>
      <c r="K31" s="14">
        <f t="shared" si="11"/>
        <v>5.6802210641193486E-2</v>
      </c>
      <c r="L31" s="10">
        <f>'FY 2013 by Agency'!L31*Inflator!$E$6</f>
        <v>521.24900036350414</v>
      </c>
      <c r="M31" s="10">
        <f t="shared" si="12"/>
        <v>19.573284483994939</v>
      </c>
      <c r="N31" s="14">
        <f t="shared" si="13"/>
        <v>3.9015810142773555E-2</v>
      </c>
      <c r="O31" s="10">
        <f>'FY 2013 by Agency'!O31*Inflator!$E$7</f>
        <v>514.30482224568811</v>
      </c>
      <c r="P31" s="52">
        <f t="shared" si="14"/>
        <v>-6.9441781178160227</v>
      </c>
      <c r="Q31" s="58">
        <f t="shared" si="0"/>
        <v>-1.3322189803670321E-2</v>
      </c>
      <c r="R31" s="52">
        <f>'FY 2013 by Agency'!R31*Inflator!$E$8</f>
        <v>507.50848608282411</v>
      </c>
      <c r="S31" s="52">
        <f t="shared" si="1"/>
        <v>-6.7963361628640087</v>
      </c>
      <c r="T31" s="58">
        <f t="shared" si="2"/>
        <v>-1.3214607114100394E-2</v>
      </c>
      <c r="U31" s="52">
        <f>'FY 2013 by Agency'!U31*Inflator!$E$9</f>
        <v>474.32294429708219</v>
      </c>
      <c r="V31" s="52">
        <f t="shared" si="15"/>
        <v>-33.185541785741918</v>
      </c>
      <c r="W31" s="58">
        <f t="shared" si="16"/>
        <v>-6.5389136725343591E-2</v>
      </c>
      <c r="X31" s="52">
        <f>'FY 2013 by Agency'!X31*Inflator!$E$10</f>
        <v>411.12670689107659</v>
      </c>
      <c r="Y31" s="39">
        <f t="shared" si="17"/>
        <v>-63.196237406005594</v>
      </c>
      <c r="Z31" s="58">
        <f t="shared" si="40"/>
        <v>-0.13323462034850239</v>
      </c>
      <c r="AA31" s="52">
        <f>'FY 2013 by Agency'!AA31*Inflator!$E$11</f>
        <v>428.67410003185734</v>
      </c>
      <c r="AB31" s="39">
        <f t="shared" si="3"/>
        <v>17.547393140780741</v>
      </c>
      <c r="AC31" s="58">
        <f t="shared" si="4"/>
        <v>4.2681229038788099E-2</v>
      </c>
      <c r="AD31" s="52" t="e">
        <f>'FY 2013 by Agency'!AD31*Inflator!#REF!</f>
        <v>#REF!</v>
      </c>
      <c r="AE31" s="52">
        <f>'FY 2013 by Agency'!AE31*Inflator!$B$8</f>
        <v>0</v>
      </c>
      <c r="AF31" s="52">
        <f>'FY 2013 by Agency'!AF31*Inflator!$E$12</f>
        <v>421.55639097744364</v>
      </c>
      <c r="AG31" s="52">
        <f t="shared" si="18"/>
        <v>-7.1177090544136945</v>
      </c>
      <c r="AH31" s="58">
        <f t="shared" si="19"/>
        <v>-1.6604010025062711E-2</v>
      </c>
      <c r="AI31" s="52">
        <f>'FY 2013 by Agency'!AI31*Inflator!$B$8</f>
        <v>0</v>
      </c>
      <c r="AJ31" s="52">
        <f>'FY 2013 by Agency'!AJ31*Inflator!$B$8</f>
        <v>0</v>
      </c>
      <c r="AK31" s="52">
        <f>'FY 2013 by Agency'!AK31</f>
        <v>396</v>
      </c>
      <c r="AL31" s="52">
        <f>'FY 2013 by Agency'!AL31</f>
        <v>0</v>
      </c>
      <c r="AM31" s="52">
        <f>'FY 2013 by Agency'!AM31</f>
        <v>396</v>
      </c>
      <c r="AN31" s="52">
        <f>'FY 2013 by Agency'!AN31</f>
        <v>396</v>
      </c>
      <c r="AO31" s="52">
        <f>'FY 2013 by Agency'!AO31</f>
        <v>396</v>
      </c>
      <c r="AP31" s="52">
        <f>'FY 2013 by Agency'!AP31</f>
        <v>0</v>
      </c>
      <c r="AQ31" s="52">
        <f>'FY 2013 by Agency'!AQ31</f>
        <v>0</v>
      </c>
      <c r="AR31" s="52">
        <f>'FY 2013 by Agency'!AR31</f>
        <v>0</v>
      </c>
      <c r="AS31" s="52">
        <f>'FY 2013 by Agency'!AS31</f>
        <v>494.92874999999998</v>
      </c>
      <c r="AT31" s="52" t="e">
        <f t="shared" si="20"/>
        <v>#REF!</v>
      </c>
      <c r="AU31" s="58" t="e">
        <f t="shared" si="21"/>
        <v>#REF!</v>
      </c>
      <c r="AV31" s="52">
        <f t="shared" si="22"/>
        <v>73.372359022556338</v>
      </c>
      <c r="AW31" s="58">
        <f t="shared" si="23"/>
        <v>0.17405111295414402</v>
      </c>
      <c r="AX31" s="279" t="s">
        <v>273</v>
      </c>
      <c r="AY31" s="280">
        <v>396</v>
      </c>
      <c r="AZ31" s="280">
        <f t="shared" si="24"/>
        <v>0</v>
      </c>
      <c r="BA31" s="280">
        <f t="shared" si="25"/>
        <v>73.372359022556338</v>
      </c>
      <c r="BB31" s="280">
        <f t="shared" si="26"/>
        <v>494.92874999999998</v>
      </c>
      <c r="BC31" s="58">
        <f t="shared" si="27"/>
        <v>0.17405111295414399</v>
      </c>
      <c r="BD31" s="291">
        <v>0</v>
      </c>
      <c r="BE31" s="51">
        <f t="shared" si="5"/>
        <v>0</v>
      </c>
      <c r="BI31" s="219">
        <v>396</v>
      </c>
      <c r="BJ31" s="280">
        <f t="shared" si="28"/>
        <v>0</v>
      </c>
      <c r="BK31" s="65">
        <f t="shared" si="29"/>
        <v>396</v>
      </c>
      <c r="BL31" s="561">
        <f>'FY 2013 by Agency'!AS31*Inflator!$E$13</f>
        <v>513.20350701861469</v>
      </c>
      <c r="BM31" s="52">
        <f t="shared" si="30"/>
        <v>91.647116041171046</v>
      </c>
      <c r="BN31" s="51">
        <f t="shared" si="31"/>
        <v>0.21740179487890823</v>
      </c>
      <c r="BO31" s="52">
        <f>'FY 2013 by Agency'!AX31*Inflator!$E$13</f>
        <v>410.62191028379624</v>
      </c>
      <c r="BP31" s="52">
        <f t="shared" si="32"/>
        <v>-10.934480693647401</v>
      </c>
      <c r="BQ31" s="51">
        <f t="shared" si="33"/>
        <v>-2.5938358254500943E-2</v>
      </c>
      <c r="BR31" s="52">
        <f>'FY 2013 by Agency'!BE31*Inflator!$E$14</f>
        <v>401.79396834876087</v>
      </c>
      <c r="BS31" s="52">
        <f t="shared" si="34"/>
        <v>-8.8279419350353692</v>
      </c>
      <c r="BT31" s="51">
        <f t="shared" si="35"/>
        <v>-2.1498954911914094E-2</v>
      </c>
      <c r="BU31" s="52">
        <f>'FY 2013 by Agency'!BL31*Inflator!$E$14</f>
        <v>401.79396834876087</v>
      </c>
      <c r="BV31" s="10">
        <f t="shared" si="36"/>
        <v>-111.40953866985382</v>
      </c>
      <c r="BW31" s="39">
        <v>408</v>
      </c>
      <c r="BX31" s="39">
        <f>'FY 2013 by Agency'!BW31*Inflator!E15</f>
        <v>408</v>
      </c>
      <c r="BY31" s="681">
        <v>408</v>
      </c>
      <c r="BZ31" s="39">
        <f t="shared" si="37"/>
        <v>6.2060316512391296</v>
      </c>
      <c r="CA31" s="51">
        <f t="shared" si="38"/>
        <v>1.5445805910785194E-2</v>
      </c>
      <c r="CC31" s="39"/>
    </row>
    <row r="32" spans="1:81" ht="18" customHeight="1">
      <c r="A32" s="53" t="s">
        <v>213</v>
      </c>
      <c r="B32" s="322">
        <f>'FY 2013 by Agency'!B32*Inflator!$E$2</f>
        <v>54060.445773524727</v>
      </c>
      <c r="C32" s="322">
        <f>'FY 2013 by Agency'!C32*Inflator!$E$3</f>
        <v>42372.587326120556</v>
      </c>
      <c r="D32" s="322">
        <f t="shared" si="6"/>
        <v>-11687.858447404171</v>
      </c>
      <c r="E32" s="351">
        <f t="shared" si="7"/>
        <v>-0.21619981633832772</v>
      </c>
      <c r="F32" s="10">
        <f>'FY 2013 by Agency'!F32*Inflator!$E$4</f>
        <v>54269.6947087933</v>
      </c>
      <c r="G32" s="10">
        <f t="shared" si="8"/>
        <v>11897.107382672744</v>
      </c>
      <c r="H32" s="14">
        <f t="shared" si="9"/>
        <v>0.28077368254873547</v>
      </c>
      <c r="I32" s="10">
        <f>'FY 2013 by Agency'!I32*Inflator!$E$5</f>
        <v>39102.905169207894</v>
      </c>
      <c r="J32" s="10">
        <f t="shared" si="10"/>
        <v>-15166.789539585407</v>
      </c>
      <c r="K32" s="14">
        <f t="shared" si="11"/>
        <v>-0.27947069945702008</v>
      </c>
      <c r="L32" s="10">
        <f>'FY 2013 by Agency'!L32*Inflator!$E$6</f>
        <v>41383.712104689199</v>
      </c>
      <c r="M32" s="10">
        <f t="shared" si="12"/>
        <v>2280.8069354813051</v>
      </c>
      <c r="N32" s="14">
        <f t="shared" si="13"/>
        <v>5.832832434346482E-2</v>
      </c>
      <c r="O32" s="10">
        <f>'FY 2013 by Agency'!O32*Inflator!$E$7</f>
        <v>47656.920098556839</v>
      </c>
      <c r="P32" s="52">
        <f t="shared" si="14"/>
        <v>6273.2079938676397</v>
      </c>
      <c r="Q32" s="58">
        <f t="shared" si="0"/>
        <v>0.1515864013841528</v>
      </c>
      <c r="R32" s="52">
        <f>'FY 2013 by Agency'!R32*Inflator!$E$8</f>
        <v>51946.953835709435</v>
      </c>
      <c r="S32" s="52">
        <f t="shared" si="1"/>
        <v>4290.0337371525966</v>
      </c>
      <c r="T32" s="58">
        <f t="shared" si="2"/>
        <v>9.0019114291913893E-2</v>
      </c>
      <c r="U32" s="52">
        <f>'FY 2013 by Agency'!U32*Inflator!$E$9</f>
        <v>66123.547745358082</v>
      </c>
      <c r="V32" s="52">
        <f t="shared" si="15"/>
        <v>14176.593909648647</v>
      </c>
      <c r="W32" s="58">
        <f t="shared" si="16"/>
        <v>0.27290520161171333</v>
      </c>
      <c r="X32" s="52">
        <f>'FY 2013 by Agency'!X32*Inflator!$E$10</f>
        <v>71013.775801841868</v>
      </c>
      <c r="Y32" s="39">
        <f t="shared" si="17"/>
        <v>4890.2280564837856</v>
      </c>
      <c r="Z32" s="58">
        <f t="shared" si="40"/>
        <v>7.3955923770395143E-2</v>
      </c>
      <c r="AA32" s="52">
        <f>'FY 2013 by Agency'!AA32*Inflator!$E$11</f>
        <v>74143.299139853465</v>
      </c>
      <c r="AB32" s="39">
        <f t="shared" si="3"/>
        <v>3129.5233380115969</v>
      </c>
      <c r="AC32" s="58">
        <f t="shared" si="4"/>
        <v>4.4069242941598766E-2</v>
      </c>
      <c r="AD32" s="52" t="e">
        <f>'FY 2013 by Agency'!AD32*Inflator!#REF!</f>
        <v>#REF!</v>
      </c>
      <c r="AE32" s="52">
        <f>'FY 2013 by Agency'!AE32*Inflator!$B$8</f>
        <v>0</v>
      </c>
      <c r="AF32" s="52">
        <f>'FY 2013 by Agency'!AF32*Inflator!$E$12</f>
        <v>63714.62907268171</v>
      </c>
      <c r="AG32" s="52">
        <f t="shared" si="18"/>
        <v>-10428.670067171755</v>
      </c>
      <c r="AH32" s="58">
        <f t="shared" si="19"/>
        <v>-0.14065559785113665</v>
      </c>
      <c r="AI32" s="52">
        <f>'FY 2013 by Agency'!AI32*Inflator!$B$8</f>
        <v>0</v>
      </c>
      <c r="AJ32" s="52">
        <f>'FY 2013 by Agency'!AJ32*Inflator!$B$8</f>
        <v>0</v>
      </c>
      <c r="AK32" s="52">
        <f>'FY 2013 by Agency'!AK32</f>
        <v>57749</v>
      </c>
      <c r="AL32" s="52">
        <f>'FY 2013 by Agency'!AL32</f>
        <v>1900</v>
      </c>
      <c r="AM32" s="52">
        <f>'FY 2013 by Agency'!AM32</f>
        <v>59649</v>
      </c>
      <c r="AN32" s="52">
        <f>'FY 2013 by Agency'!AN32</f>
        <v>53365</v>
      </c>
      <c r="AO32" s="52">
        <f>'FY 2013 by Agency'!AO32</f>
        <v>62004</v>
      </c>
      <c r="AP32" s="52">
        <f>'FY 2013 by Agency'!AP32</f>
        <v>0</v>
      </c>
      <c r="AQ32" s="52">
        <f>'FY 2013 by Agency'!AQ32</f>
        <v>195</v>
      </c>
      <c r="AR32" s="52">
        <f>'FY 2013 by Agency'!AR32</f>
        <v>195</v>
      </c>
      <c r="AS32" s="52">
        <f>'FY 2013 by Agency'!AS32</f>
        <v>54722.822670000001</v>
      </c>
      <c r="AT32" s="52" t="e">
        <f t="shared" si="20"/>
        <v>#REF!</v>
      </c>
      <c r="AU32" s="58" t="e">
        <f t="shared" si="21"/>
        <v>#REF!</v>
      </c>
      <c r="AV32" s="52">
        <f t="shared" si="22"/>
        <v>-8991.8064026817083</v>
      </c>
      <c r="AW32" s="58">
        <f t="shared" si="23"/>
        <v>-0.14112624578610372</v>
      </c>
      <c r="AX32" s="279" t="s">
        <v>275</v>
      </c>
      <c r="AY32" s="280">
        <v>60741.973420000002</v>
      </c>
      <c r="AZ32" s="280">
        <f t="shared" si="24"/>
        <v>-1262.0265799999979</v>
      </c>
      <c r="BA32" s="280">
        <f t="shared" si="25"/>
        <v>-10253.832982681706</v>
      </c>
      <c r="BB32" s="280">
        <f>+AZ32+AS32+AY38</f>
        <v>56739.796090000003</v>
      </c>
      <c r="BC32" s="58">
        <f t="shared" si="27"/>
        <v>-0.10946988288553394</v>
      </c>
      <c r="BD32" s="291">
        <v>394.16899999999998</v>
      </c>
      <c r="BE32" s="51">
        <f t="shared" si="5"/>
        <v>6.4892359896594216E-3</v>
      </c>
      <c r="BF32" s="50">
        <f>1700+903</f>
        <v>2603</v>
      </c>
      <c r="BG32" s="50">
        <v>483</v>
      </c>
      <c r="BI32" s="219">
        <v>58313</v>
      </c>
      <c r="BJ32" s="280">
        <f t="shared" si="28"/>
        <v>-2428.9734200000021</v>
      </c>
      <c r="BK32" s="65">
        <f t="shared" si="29"/>
        <v>58508</v>
      </c>
      <c r="BL32" s="561">
        <f>'FY 2013 by Agency'!AS32*Inflator!$E$13</f>
        <v>56743.409042618259</v>
      </c>
      <c r="BM32" s="52">
        <f t="shared" si="30"/>
        <v>-6971.2200300634504</v>
      </c>
      <c r="BN32" s="51">
        <f t="shared" si="31"/>
        <v>-0.10941317765675311</v>
      </c>
      <c r="BO32" s="52">
        <f>'FY 2013 by Agency'!AX32*Inflator!$E$13</f>
        <v>60466.150137320728</v>
      </c>
      <c r="BP32" s="52">
        <f t="shared" si="32"/>
        <v>-3248.4789353609813</v>
      </c>
      <c r="BQ32" s="51">
        <f t="shared" si="33"/>
        <v>-5.0984820639155215E-2</v>
      </c>
      <c r="BR32" s="52">
        <f>'FY 2013 by Agency'!BE32*Inflator!$E$14</f>
        <v>59137.781427291731</v>
      </c>
      <c r="BS32" s="52">
        <f t="shared" si="34"/>
        <v>-1328.3687100289972</v>
      </c>
      <c r="BT32" s="51">
        <f t="shared" si="35"/>
        <v>-2.1968799187846846E-2</v>
      </c>
      <c r="BU32" s="52">
        <f>'FY 2013 by Agency'!BL32*Inflator!$E$14</f>
        <v>59137.781427291731</v>
      </c>
      <c r="BV32" s="10">
        <f t="shared" si="36"/>
        <v>2394.372384673472</v>
      </c>
      <c r="BW32" s="487">
        <v>59800</v>
      </c>
      <c r="BX32" s="39">
        <f>'FY 2013 by Agency'!BW32*Inflator!E15</f>
        <v>62521.267</v>
      </c>
      <c r="BY32" s="681">
        <v>60498</v>
      </c>
      <c r="BZ32" s="39">
        <f t="shared" si="37"/>
        <v>662.21857270826877</v>
      </c>
      <c r="CA32" s="51">
        <f t="shared" si="38"/>
        <v>1.1197893406306562E-2</v>
      </c>
      <c r="CC32" s="39"/>
    </row>
    <row r="33" spans="1:82" s="63" customFormat="1" ht="18" customHeight="1">
      <c r="A33" s="53" t="s">
        <v>72</v>
      </c>
      <c r="B33" s="322">
        <f>'FY 2013 by Agency'!B33*Inflator!$E$2</f>
        <v>10968.982456140351</v>
      </c>
      <c r="C33" s="322">
        <f>'FY 2013 by Agency'!C33*Inflator!$E$3</f>
        <v>14013.467542503864</v>
      </c>
      <c r="D33" s="322">
        <f t="shared" si="6"/>
        <v>3044.4850863635129</v>
      </c>
      <c r="E33" s="351">
        <f t="shared" si="7"/>
        <v>0.27755401182716211</v>
      </c>
      <c r="F33" s="10">
        <f>'FY 2013 by Agency'!F33*Inflator!$E$4</f>
        <v>13686.424819185382</v>
      </c>
      <c r="G33" s="10">
        <f t="shared" si="8"/>
        <v>-327.04272331848188</v>
      </c>
      <c r="H33" s="14">
        <f t="shared" si="9"/>
        <v>-2.3337744375297374E-2</v>
      </c>
      <c r="I33" s="10">
        <f>'FY 2013 by Agency'!I33*Inflator!$E$5</f>
        <v>12474.91855708442</v>
      </c>
      <c r="J33" s="10">
        <f t="shared" si="10"/>
        <v>-1211.506262100962</v>
      </c>
      <c r="K33" s="14">
        <f t="shared" si="11"/>
        <v>-8.8518826363090414E-2</v>
      </c>
      <c r="L33" s="10">
        <f>'FY 2013 by Agency'!L33*Inflator!$E$6</f>
        <v>10752.304616503088</v>
      </c>
      <c r="M33" s="10">
        <f t="shared" si="12"/>
        <v>-1722.6139405813319</v>
      </c>
      <c r="N33" s="14">
        <f t="shared" si="13"/>
        <v>-0.13808618731246716</v>
      </c>
      <c r="O33" s="10">
        <f>'FY 2013 by Agency'!O33*Inflator!$E$7</f>
        <v>11949.812741992255</v>
      </c>
      <c r="P33" s="69">
        <f t="shared" si="14"/>
        <v>1197.5081254891666</v>
      </c>
      <c r="Q33" s="72">
        <f t="shared" si="0"/>
        <v>0.11137222839196546</v>
      </c>
      <c r="R33" s="52">
        <f>'FY 2013 by Agency'!R33*Inflator!$E$8</f>
        <v>13009.518669382212</v>
      </c>
      <c r="S33" s="69">
        <f t="shared" si="1"/>
        <v>1059.7059273899577</v>
      </c>
      <c r="T33" s="72">
        <f t="shared" si="2"/>
        <v>8.8679709905921514E-2</v>
      </c>
      <c r="U33" s="52">
        <f>'FY 2013 by Agency'!U33*Inflator!$E$9</f>
        <v>13931.124005305039</v>
      </c>
      <c r="V33" s="69">
        <f t="shared" si="15"/>
        <v>921.60533592282627</v>
      </c>
      <c r="W33" s="72">
        <f t="shared" si="16"/>
        <v>7.0840848100846066E-2</v>
      </c>
      <c r="X33" s="52">
        <f>'FY 2013 by Agency'!X33*Inflator!$E$10</f>
        <v>16063.076532232457</v>
      </c>
      <c r="Y33" s="39">
        <f t="shared" si="17"/>
        <v>2131.9525269274181</v>
      </c>
      <c r="Z33" s="72">
        <f t="shared" si="40"/>
        <v>0.15303521281668014</v>
      </c>
      <c r="AA33" s="52">
        <f>'FY 2013 by Agency'!AA33*Inflator!$E$11</f>
        <v>16083.938834023576</v>
      </c>
      <c r="AB33" s="39">
        <f t="shared" si="3"/>
        <v>20.862301791119535</v>
      </c>
      <c r="AC33" s="58">
        <f t="shared" si="4"/>
        <v>1.2987737280126174E-3</v>
      </c>
      <c r="AD33" s="52" t="e">
        <f>'FY 2013 by Agency'!AD33*Inflator!#REF!</f>
        <v>#REF!</v>
      </c>
      <c r="AE33" s="52">
        <f>'FY 2013 by Agency'!AE33*Inflator!$B$8</f>
        <v>0</v>
      </c>
      <c r="AF33" s="52">
        <f>'FY 2013 by Agency'!AF33*Inflator!$E$12</f>
        <v>15840.3007518797</v>
      </c>
      <c r="AG33" s="52">
        <f t="shared" si="18"/>
        <v>-243.63808214387609</v>
      </c>
      <c r="AH33" s="58">
        <f t="shared" si="19"/>
        <v>-1.5147911507129706E-2</v>
      </c>
      <c r="AI33" s="52">
        <f>'FY 2013 by Agency'!AI33*Inflator!$B$8</f>
        <v>0</v>
      </c>
      <c r="AJ33" s="52">
        <f>'FY 2013 by Agency'!AJ33*Inflator!$B$8</f>
        <v>0</v>
      </c>
      <c r="AK33" s="52">
        <f>'FY 2013 by Agency'!AK33</f>
        <v>14331</v>
      </c>
      <c r="AL33" s="52">
        <f>'FY 2013 by Agency'!AL33</f>
        <v>0</v>
      </c>
      <c r="AM33" s="52">
        <f>'FY 2013 by Agency'!AM33</f>
        <v>14331</v>
      </c>
      <c r="AN33" s="52">
        <f>'FY 2013 by Agency'!AN33</f>
        <v>13567</v>
      </c>
      <c r="AO33" s="52">
        <f>'FY 2013 by Agency'!AO33</f>
        <v>13567</v>
      </c>
      <c r="AP33" s="52">
        <f>'FY 2013 by Agency'!AP33</f>
        <v>593</v>
      </c>
      <c r="AQ33" s="52">
        <f>'FY 2013 by Agency'!AQ33</f>
        <v>0</v>
      </c>
      <c r="AR33" s="52">
        <f>'FY 2013 by Agency'!AR33</f>
        <v>593</v>
      </c>
      <c r="AS33" s="52">
        <f>'FY 2013 by Agency'!AS33</f>
        <v>12993.86816</v>
      </c>
      <c r="AT33" s="52" t="e">
        <f t="shared" si="20"/>
        <v>#REF!</v>
      </c>
      <c r="AU33" s="58" t="e">
        <f t="shared" si="21"/>
        <v>#REF!</v>
      </c>
      <c r="AV33" s="52">
        <f t="shared" si="22"/>
        <v>-2846.4325918797003</v>
      </c>
      <c r="AW33" s="58">
        <f t="shared" si="23"/>
        <v>-0.17969561540944395</v>
      </c>
      <c r="AX33" s="279" t="s">
        <v>277</v>
      </c>
      <c r="AY33" s="280">
        <v>13925.127259999999</v>
      </c>
      <c r="AZ33" s="280">
        <f t="shared" si="24"/>
        <v>358.1272599999993</v>
      </c>
      <c r="BA33" s="280">
        <f t="shared" si="25"/>
        <v>-2488.305331879701</v>
      </c>
      <c r="BB33" s="280">
        <f t="shared" si="26"/>
        <v>13351.995419999999</v>
      </c>
      <c r="BC33" s="58">
        <f t="shared" si="27"/>
        <v>-0.15708700048415591</v>
      </c>
      <c r="BD33" s="291">
        <v>0</v>
      </c>
      <c r="BE33" s="51">
        <f t="shared" si="5"/>
        <v>0</v>
      </c>
      <c r="BF33" s="63">
        <v>1120</v>
      </c>
      <c r="BI33" s="244">
        <v>13329</v>
      </c>
      <c r="BJ33" s="280">
        <f t="shared" si="28"/>
        <v>-596.1272599999993</v>
      </c>
      <c r="BK33" s="65">
        <f t="shared" si="29"/>
        <v>13922</v>
      </c>
      <c r="BL33" s="561">
        <f>'FY 2013 by Agency'!AS33*Inflator!$E$13</f>
        <v>13473.653954128778</v>
      </c>
      <c r="BM33" s="52">
        <f t="shared" si="30"/>
        <v>-2366.6467977509219</v>
      </c>
      <c r="BN33" s="51">
        <f t="shared" si="31"/>
        <v>-0.14940668329609097</v>
      </c>
      <c r="BO33" s="52">
        <f>'FY 2013 by Agency'!AX33*Inflator!$E$13</f>
        <v>13821.160207506868</v>
      </c>
      <c r="BP33" s="52">
        <f t="shared" si="32"/>
        <v>-2019.1405443728327</v>
      </c>
      <c r="BQ33" s="51">
        <f t="shared" si="33"/>
        <v>-0.12746857373482823</v>
      </c>
      <c r="BR33" s="52">
        <f>'FY 2013 by Agency'!BE33*Inflator!$E$14</f>
        <v>13238.90833084503</v>
      </c>
      <c r="BS33" s="52">
        <f t="shared" si="34"/>
        <v>-582.25187666183774</v>
      </c>
      <c r="BT33" s="51">
        <f t="shared" si="35"/>
        <v>-4.2127568736638449E-2</v>
      </c>
      <c r="BU33" s="69">
        <f>'FY 2013 by Agency'!BL33*Inflator!$E$14</f>
        <v>14696.933412959093</v>
      </c>
      <c r="BV33" s="10">
        <f t="shared" si="36"/>
        <v>1223.279458830315</v>
      </c>
      <c r="BW33" s="487">
        <v>13308</v>
      </c>
      <c r="BX33" s="39">
        <f>'FY 2013 by Agency'!BW33*Inflator!E15</f>
        <v>15139.881000000001</v>
      </c>
      <c r="BY33" s="681">
        <v>13308</v>
      </c>
      <c r="BZ33" s="39">
        <f t="shared" si="37"/>
        <v>69.091669154970077</v>
      </c>
      <c r="CA33" s="51">
        <f t="shared" si="38"/>
        <v>5.2188343198959217E-3</v>
      </c>
      <c r="CC33" s="39"/>
    </row>
    <row r="34" spans="1:82" s="63" customFormat="1" ht="18" customHeight="1">
      <c r="A34" s="53" t="s">
        <v>73</v>
      </c>
      <c r="B34" s="322">
        <f>'FY 2013 by Agency'!B34*Inflator!$E$2</f>
        <v>104812.31259968103</v>
      </c>
      <c r="C34" s="322">
        <f>'FY 2013 by Agency'!C34*Inflator!$E$3</f>
        <v>110901.10896445133</v>
      </c>
      <c r="D34" s="322">
        <f t="shared" si="6"/>
        <v>6088.7963647703</v>
      </c>
      <c r="E34" s="351">
        <f t="shared" si="7"/>
        <v>5.8092376875852177E-2</v>
      </c>
      <c r="F34" s="10">
        <f>'FY 2013 by Agency'!F34*Inflator!$E$4</f>
        <v>104179.03235629997</v>
      </c>
      <c r="G34" s="10">
        <f t="shared" si="8"/>
        <v>-6722.0766081513575</v>
      </c>
      <c r="H34" s="14">
        <f t="shared" si="9"/>
        <v>-6.0613249686313576E-2</v>
      </c>
      <c r="I34" s="10">
        <f>'FY 2013 by Agency'!I34*Inflator!$E$5</f>
        <v>100993.51357381928</v>
      </c>
      <c r="J34" s="10">
        <f t="shared" si="10"/>
        <v>-3185.5187824806926</v>
      </c>
      <c r="K34" s="14">
        <f t="shared" si="11"/>
        <v>-3.0577350455569443E-2</v>
      </c>
      <c r="L34" s="10">
        <f>'FY 2013 by Agency'!L34*Inflator!$E$6</f>
        <v>105118.13667757178</v>
      </c>
      <c r="M34" s="10">
        <f t="shared" si="12"/>
        <v>4124.6231037524994</v>
      </c>
      <c r="N34" s="14">
        <f t="shared" si="13"/>
        <v>4.084047537110079E-2</v>
      </c>
      <c r="O34" s="10">
        <f>'FY 2013 by Agency'!O34*Inflator!$E$7</f>
        <v>126041.75923970432</v>
      </c>
      <c r="P34" s="69">
        <f t="shared" si="14"/>
        <v>20923.622562132543</v>
      </c>
      <c r="Q34" s="72">
        <f t="shared" si="0"/>
        <v>0.1990486439681807</v>
      </c>
      <c r="R34" s="52">
        <f>'FY 2013 by Agency'!R34*Inflator!$E$8</f>
        <v>137628.22742701968</v>
      </c>
      <c r="S34" s="69">
        <f t="shared" si="1"/>
        <v>11586.46818731536</v>
      </c>
      <c r="T34" s="72">
        <f t="shared" si="2"/>
        <v>9.1925630499018904E-2</v>
      </c>
      <c r="U34" s="52">
        <f>'FY 2013 by Agency'!U34*Inflator!$E$9</f>
        <v>150160.95490716179</v>
      </c>
      <c r="V34" s="69">
        <f t="shared" si="15"/>
        <v>12532.727480142115</v>
      </c>
      <c r="W34" s="69">
        <f t="shared" si="16"/>
        <v>9.1062187709914838E-2</v>
      </c>
      <c r="X34" s="52">
        <f>'FY 2013 by Agency'!X34*Inflator!$E$10</f>
        <v>141216.08891711658</v>
      </c>
      <c r="Y34" s="39">
        <f>X34-U34</f>
        <v>-8944.8659900452185</v>
      </c>
      <c r="Z34" s="58">
        <f t="shared" si="40"/>
        <v>-5.9568520961893544E-2</v>
      </c>
      <c r="AA34" s="52">
        <f>'FY 2013 by Agency'!AA34*Inflator!$E$11</f>
        <v>166536.64033131572</v>
      </c>
      <c r="AB34" s="39">
        <f t="shared" si="3"/>
        <v>25320.551414199144</v>
      </c>
      <c r="AC34" s="58">
        <f t="shared" si="4"/>
        <v>0.1793035879152583</v>
      </c>
      <c r="AD34" s="52" t="e">
        <f>'FY 2013 by Agency'!AD34*Inflator!#REF!</f>
        <v>#REF!</v>
      </c>
      <c r="AE34" s="52">
        <f>'FY 2013 by Agency'!AE34*Inflator!$B$8</f>
        <v>0</v>
      </c>
      <c r="AF34" s="52">
        <f>'FY 2013 by Agency'!AF34*Inflator!$E$12</f>
        <v>138780.40914786968</v>
      </c>
      <c r="AG34" s="52">
        <f t="shared" si="18"/>
        <v>-27756.231183446042</v>
      </c>
      <c r="AH34" s="58">
        <f t="shared" si="19"/>
        <v>-0.16666741401908017</v>
      </c>
      <c r="AI34" s="52">
        <f>'FY 2013 by Agency'!AI34*Inflator!$B$8</f>
        <v>0</v>
      </c>
      <c r="AJ34" s="52">
        <f>'FY 2013 by Agency'!AJ34*Inflator!$B$8</f>
        <v>0</v>
      </c>
      <c r="AK34" s="52">
        <f>'FY 2013 by Agency'!AK34</f>
        <v>109217</v>
      </c>
      <c r="AL34" s="52">
        <f>'FY 2013 by Agency'!AL34</f>
        <v>0</v>
      </c>
      <c r="AM34" s="52">
        <f>'FY 2013 by Agency'!AM34</f>
        <v>109217</v>
      </c>
      <c r="AN34" s="52">
        <f>'FY 2013 by Agency'!AN34</f>
        <v>87413</v>
      </c>
      <c r="AO34" s="52">
        <f>'FY 2013 by Agency'!AO34</f>
        <v>121453</v>
      </c>
      <c r="AP34" s="52">
        <f>'FY 2013 by Agency'!AP34</f>
        <v>14702</v>
      </c>
      <c r="AQ34" s="52">
        <f>'FY 2013 by Agency'!AQ34</f>
        <v>0</v>
      </c>
      <c r="AR34" s="52">
        <f>'FY 2013 by Agency'!AR34</f>
        <v>14702</v>
      </c>
      <c r="AS34" s="52">
        <f>'FY 2013 by Agency'!AS34</f>
        <v>118809.95961000001</v>
      </c>
      <c r="AT34" s="52" t="e">
        <f t="shared" si="20"/>
        <v>#REF!</v>
      </c>
      <c r="AU34" s="58" t="e">
        <f t="shared" si="21"/>
        <v>#REF!</v>
      </c>
      <c r="AV34" s="52">
        <f t="shared" si="22"/>
        <v>-19970.449537869674</v>
      </c>
      <c r="AW34" s="58">
        <f t="shared" si="23"/>
        <v>-0.14389963007380446</v>
      </c>
      <c r="AX34" s="279" t="s">
        <v>278</v>
      </c>
      <c r="AY34" s="280">
        <v>121887.09804</v>
      </c>
      <c r="AZ34" s="280">
        <f t="shared" si="24"/>
        <v>434.09803999999713</v>
      </c>
      <c r="BA34" s="280">
        <f t="shared" si="25"/>
        <v>-19536.351497869677</v>
      </c>
      <c r="BB34" s="280">
        <f t="shared" si="26"/>
        <v>119244.05765</v>
      </c>
      <c r="BC34" s="58">
        <f t="shared" si="27"/>
        <v>-0.14077168108831417</v>
      </c>
      <c r="BD34" s="291">
        <v>0</v>
      </c>
      <c r="BE34" s="51">
        <f t="shared" si="5"/>
        <v>0</v>
      </c>
      <c r="BF34" s="63">
        <v>861</v>
      </c>
      <c r="BH34" s="63">
        <v>56</v>
      </c>
      <c r="BI34" s="246">
        <v>121617</v>
      </c>
      <c r="BJ34" s="280">
        <f t="shared" si="28"/>
        <v>-270.09803999999713</v>
      </c>
      <c r="BK34" s="65">
        <f t="shared" si="29"/>
        <v>136319</v>
      </c>
      <c r="BL34" s="561">
        <f>'FY 2013 by Agency'!AS34*Inflator!$E$13</f>
        <v>123196.90044393655</v>
      </c>
      <c r="BM34" s="52">
        <f t="shared" si="30"/>
        <v>-15583.508703933127</v>
      </c>
      <c r="BN34" s="51">
        <f t="shared" si="31"/>
        <v>-0.11228896642990145</v>
      </c>
      <c r="BO34" s="52">
        <f>'FY 2013 by Agency'!AX34*Inflator!$E$13</f>
        <v>126107.58803783951</v>
      </c>
      <c r="BP34" s="52">
        <f t="shared" si="32"/>
        <v>-12672.821110030171</v>
      </c>
      <c r="BQ34" s="51">
        <f t="shared" si="33"/>
        <v>-9.131563444612241E-2</v>
      </c>
      <c r="BR34" s="52">
        <f>'FY 2013 by Agency'!BE34*Inflator!$E$14</f>
        <v>121323.5150791281</v>
      </c>
      <c r="BS34" s="52">
        <f t="shared" si="34"/>
        <v>-4784.0729587114038</v>
      </c>
      <c r="BT34" s="51">
        <f t="shared" si="35"/>
        <v>-3.7936440091740617E-2</v>
      </c>
      <c r="BU34" s="69">
        <f>'FY 2013 by Agency'!BL34*Inflator!$E$14</f>
        <v>138803.58196476562</v>
      </c>
      <c r="BV34" s="10">
        <f t="shared" si="36"/>
        <v>15606.681520829065</v>
      </c>
      <c r="BW34" s="487">
        <f>128292-2200</f>
        <v>126092</v>
      </c>
      <c r="BX34" s="39">
        <f>'FY 2013 by Agency'!BW34*Inflator!E15</f>
        <v>145233.69999999998</v>
      </c>
      <c r="BY34" s="681">
        <f>129445-2200</f>
        <v>127245</v>
      </c>
      <c r="BZ34" s="39">
        <f t="shared" si="37"/>
        <v>4768.4849208718952</v>
      </c>
      <c r="CA34" s="51">
        <f t="shared" si="38"/>
        <v>3.930388035461925E-2</v>
      </c>
      <c r="CC34" s="39"/>
    </row>
    <row r="35" spans="1:82" s="63" customFormat="1" ht="18" customHeight="1">
      <c r="A35" s="103" t="s">
        <v>214</v>
      </c>
      <c r="B35" s="324" t="s">
        <v>78</v>
      </c>
      <c r="C35" s="324" t="s">
        <v>78</v>
      </c>
      <c r="D35" s="324" t="s">
        <v>78</v>
      </c>
      <c r="E35" s="324" t="s">
        <v>78</v>
      </c>
      <c r="F35" s="324" t="s">
        <v>78</v>
      </c>
      <c r="G35" s="324" t="s">
        <v>78</v>
      </c>
      <c r="H35" s="324" t="s">
        <v>78</v>
      </c>
      <c r="I35" s="324" t="s">
        <v>78</v>
      </c>
      <c r="J35" s="324" t="s">
        <v>78</v>
      </c>
      <c r="K35" s="324" t="s">
        <v>78</v>
      </c>
      <c r="L35" s="324" t="s">
        <v>78</v>
      </c>
      <c r="M35" s="324" t="s">
        <v>78</v>
      </c>
      <c r="N35" s="324" t="s">
        <v>78</v>
      </c>
      <c r="O35" s="324" t="s">
        <v>78</v>
      </c>
      <c r="P35" s="324" t="s">
        <v>78</v>
      </c>
      <c r="Q35" s="324" t="s">
        <v>78</v>
      </c>
      <c r="R35" s="324" t="s">
        <v>78</v>
      </c>
      <c r="S35" s="324" t="s">
        <v>78</v>
      </c>
      <c r="T35" s="324" t="s">
        <v>78</v>
      </c>
      <c r="U35" s="324" t="s">
        <v>78</v>
      </c>
      <c r="V35" s="324" t="s">
        <v>78</v>
      </c>
      <c r="W35" s="324" t="s">
        <v>78</v>
      </c>
      <c r="X35" s="324" t="s">
        <v>78</v>
      </c>
      <c r="Y35" s="324" t="s">
        <v>78</v>
      </c>
      <c r="Z35" s="324" t="s">
        <v>78</v>
      </c>
      <c r="AA35" s="324" t="s">
        <v>78</v>
      </c>
      <c r="AB35" s="324" t="s">
        <v>78</v>
      </c>
      <c r="AC35" s="324" t="s">
        <v>78</v>
      </c>
      <c r="AD35" s="52">
        <v>0</v>
      </c>
      <c r="AE35" s="52">
        <f>'FY 2013 by Agency'!AE35*Inflator!$B$8</f>
        <v>0</v>
      </c>
      <c r="AF35" s="52">
        <f>'FY 2013 by Agency'!AF35*Inflator!$E$12</f>
        <v>0</v>
      </c>
      <c r="AG35" s="324" t="s">
        <v>78</v>
      </c>
      <c r="AH35" s="324" t="s">
        <v>78</v>
      </c>
      <c r="AI35" s="52">
        <f>'FY 2013 by Agency'!AI35*Inflator!$B$8</f>
        <v>0</v>
      </c>
      <c r="AJ35" s="52">
        <f>'FY 2013 by Agency'!AJ35*Inflator!$B$8</f>
        <v>0</v>
      </c>
      <c r="AK35" s="52">
        <f>'FY 2013 by Agency'!AK35</f>
        <v>0</v>
      </c>
      <c r="AL35" s="52">
        <f>'FY 2013 by Agency'!AL35</f>
        <v>0</v>
      </c>
      <c r="AM35" s="52">
        <f>'FY 2013 by Agency'!AM35</f>
        <v>0</v>
      </c>
      <c r="AN35" s="52">
        <f>'FY 2013 by Agency'!AN35</f>
        <v>1000</v>
      </c>
      <c r="AO35" s="52">
        <f>'FY 2013 by Agency'!AO35</f>
        <v>1000</v>
      </c>
      <c r="AP35" s="52">
        <f>'FY 2013 by Agency'!AP35</f>
        <v>0</v>
      </c>
      <c r="AQ35" s="52">
        <f>'FY 2013 by Agency'!AQ35</f>
        <v>0</v>
      </c>
      <c r="AR35" s="52">
        <f>'FY 2013 by Agency'!AR35</f>
        <v>0</v>
      </c>
      <c r="AS35" s="52">
        <f>'FY 2013 by Agency'!AS35</f>
        <v>196.37821</v>
      </c>
      <c r="AT35" s="52">
        <f t="shared" si="20"/>
        <v>0</v>
      </c>
      <c r="AU35" s="58"/>
      <c r="AV35" s="52">
        <f t="shared" si="22"/>
        <v>196.37821</v>
      </c>
      <c r="AW35" s="58" t="e">
        <f t="shared" si="23"/>
        <v>#DIV/0!</v>
      </c>
      <c r="AX35" s="279" t="s">
        <v>262</v>
      </c>
      <c r="AY35" s="280">
        <v>2500</v>
      </c>
      <c r="AZ35" s="280">
        <f t="shared" si="24"/>
        <v>1500</v>
      </c>
      <c r="BA35" s="280">
        <f t="shared" si="25"/>
        <v>1696.3782100000001</v>
      </c>
      <c r="BB35" s="280">
        <f t="shared" si="26"/>
        <v>1696.3782100000001</v>
      </c>
      <c r="BC35" s="58" t="e">
        <f t="shared" si="27"/>
        <v>#DIV/0!</v>
      </c>
      <c r="BD35" s="291">
        <v>0</v>
      </c>
      <c r="BE35" s="51">
        <f t="shared" si="5"/>
        <v>0</v>
      </c>
      <c r="BI35" s="80">
        <v>3182</v>
      </c>
      <c r="BJ35" s="280">
        <f t="shared" si="28"/>
        <v>682</v>
      </c>
      <c r="BK35" s="65">
        <f t="shared" si="29"/>
        <v>3182</v>
      </c>
      <c r="BL35" s="561">
        <f>'FY 2013 by Agency'!AS35*Inflator!$E$13</f>
        <v>203.62928214220327</v>
      </c>
      <c r="BM35" s="52">
        <f t="shared" si="30"/>
        <v>203.62928214220327</v>
      </c>
      <c r="BN35" s="51" t="e">
        <f t="shared" si="31"/>
        <v>#DIV/0!</v>
      </c>
      <c r="BO35" s="52">
        <f>'FY 2013 by Agency'!AX35*Inflator!$E$13</f>
        <v>3299.4922184925244</v>
      </c>
      <c r="BP35" s="52">
        <f t="shared" si="32"/>
        <v>3299.4922184925244</v>
      </c>
      <c r="BQ35" s="51" t="e">
        <f t="shared" si="33"/>
        <v>#DIV/0!</v>
      </c>
      <c r="BR35" s="52">
        <f>'FY 2013 by Agency'!BE35*Inflator!$E$14</f>
        <v>3228.556584054942</v>
      </c>
      <c r="BS35" s="52">
        <f t="shared" si="34"/>
        <v>-70.935634437582394</v>
      </c>
      <c r="BT35" s="51">
        <f t="shared" si="35"/>
        <v>-2.1498954911914156E-2</v>
      </c>
      <c r="BU35" s="69">
        <f>'FY 2013 by Agency'!BL35*Inflator!$E$14</f>
        <v>3228.556584054942</v>
      </c>
      <c r="BV35" s="10">
        <f t="shared" si="36"/>
        <v>3024.9273019127386</v>
      </c>
      <c r="BW35" s="39">
        <v>2496</v>
      </c>
      <c r="BX35" s="39">
        <f>'FY 2013 by Agency'!BW35*Inflator!E15</f>
        <v>2496</v>
      </c>
      <c r="BY35" s="681">
        <v>2430</v>
      </c>
      <c r="BZ35" s="39">
        <f t="shared" si="37"/>
        <v>-732.55658405494205</v>
      </c>
      <c r="CA35" s="51">
        <f t="shared" si="38"/>
        <v>-0.22689910025825824</v>
      </c>
      <c r="CC35" s="39"/>
    </row>
    <row r="36" spans="1:82" s="63" customFormat="1" ht="18" customHeight="1">
      <c r="A36" s="268" t="s">
        <v>358</v>
      </c>
      <c r="B36" s="324" t="s">
        <v>78</v>
      </c>
      <c r="C36" s="324" t="s">
        <v>78</v>
      </c>
      <c r="D36" s="324" t="s">
        <v>78</v>
      </c>
      <c r="E36" s="324" t="s">
        <v>78</v>
      </c>
      <c r="F36" s="324" t="s">
        <v>78</v>
      </c>
      <c r="G36" s="324" t="s">
        <v>78</v>
      </c>
      <c r="H36" s="324" t="s">
        <v>78</v>
      </c>
      <c r="I36" s="324" t="s">
        <v>78</v>
      </c>
      <c r="J36" s="324" t="s">
        <v>78</v>
      </c>
      <c r="K36" s="324" t="s">
        <v>78</v>
      </c>
      <c r="L36" s="324" t="s">
        <v>78</v>
      </c>
      <c r="M36" s="324" t="s">
        <v>78</v>
      </c>
      <c r="N36" s="324" t="s">
        <v>78</v>
      </c>
      <c r="O36" s="324" t="s">
        <v>78</v>
      </c>
      <c r="P36" s="324" t="s">
        <v>78</v>
      </c>
      <c r="Q36" s="324" t="s">
        <v>78</v>
      </c>
      <c r="R36" s="324" t="s">
        <v>78</v>
      </c>
      <c r="S36" s="324" t="s">
        <v>78</v>
      </c>
      <c r="T36" s="324" t="s">
        <v>78</v>
      </c>
      <c r="U36" s="324" t="s">
        <v>78</v>
      </c>
      <c r="V36" s="324" t="s">
        <v>78</v>
      </c>
      <c r="W36" s="324" t="s">
        <v>78</v>
      </c>
      <c r="X36" s="324" t="s">
        <v>78</v>
      </c>
      <c r="Y36" s="324" t="s">
        <v>78</v>
      </c>
      <c r="Z36" s="324" t="s">
        <v>78</v>
      </c>
      <c r="AA36" s="324" t="s">
        <v>78</v>
      </c>
      <c r="AB36" s="324" t="s">
        <v>78</v>
      </c>
      <c r="AC36" s="324" t="s">
        <v>78</v>
      </c>
      <c r="AD36" s="52">
        <v>0</v>
      </c>
      <c r="AE36" s="52">
        <f>'FY 2013 by Agency'!AE37*Inflator!$B$8</f>
        <v>0</v>
      </c>
      <c r="AF36" s="52">
        <f>'FY 2013 by Agency'!AF36*Inflator!$E$12</f>
        <v>0</v>
      </c>
      <c r="AG36" s="324" t="s">
        <v>78</v>
      </c>
      <c r="AH36" s="324" t="s">
        <v>78</v>
      </c>
      <c r="AI36" s="52">
        <f>'FY 2013 by Agency'!AI37*Inflator!$B$8</f>
        <v>0</v>
      </c>
      <c r="AJ36" s="52">
        <f>'FY 2013 by Agency'!AJ37*Inflator!$B$8</f>
        <v>0</v>
      </c>
      <c r="AK36" s="52">
        <f>'FY 2013 by Agency'!AK37</f>
        <v>0</v>
      </c>
      <c r="AL36" s="52">
        <f>'FY 2013 by Agency'!AL37</f>
        <v>0</v>
      </c>
      <c r="AM36" s="52">
        <f>'FY 2013 by Agency'!AM37</f>
        <v>0</v>
      </c>
      <c r="AN36" s="52">
        <f>'FY 2013 by Agency'!AN37</f>
        <v>123860</v>
      </c>
      <c r="AO36" s="52">
        <f>'FY 2013 by Agency'!AO37</f>
        <v>124425</v>
      </c>
      <c r="AP36" s="52">
        <f>'FY 2013 by Agency'!AP37</f>
        <v>0</v>
      </c>
      <c r="AQ36" s="52">
        <f>'FY 2013 by Agency'!AQ37</f>
        <v>0</v>
      </c>
      <c r="AR36" s="52">
        <f>'FY 2013 by Agency'!AR37</f>
        <v>0</v>
      </c>
      <c r="AS36" s="52">
        <f>'FY 2013 by Agency'!AS37</f>
        <v>2951</v>
      </c>
      <c r="AT36" s="52">
        <f t="shared" si="20"/>
        <v>0</v>
      </c>
      <c r="AU36" s="58"/>
      <c r="AV36" s="52">
        <f t="shared" si="22"/>
        <v>2951</v>
      </c>
      <c r="AW36" s="58" t="e">
        <f t="shared" si="23"/>
        <v>#DIV/0!</v>
      </c>
      <c r="AX36" s="310" t="s">
        <v>274</v>
      </c>
      <c r="AY36" s="280">
        <v>124021.132</v>
      </c>
      <c r="AZ36" s="280">
        <f t="shared" si="24"/>
        <v>-403.86800000000221</v>
      </c>
      <c r="BA36" s="280">
        <f>+AZ36+AV36</f>
        <v>2547.1319999999978</v>
      </c>
      <c r="BB36" s="280">
        <f t="shared" si="26"/>
        <v>2547.1319999999978</v>
      </c>
      <c r="BC36" s="58" t="e">
        <f t="shared" si="27"/>
        <v>#DIV/0!</v>
      </c>
      <c r="BD36" s="291">
        <v>1401.556</v>
      </c>
      <c r="BE36" s="51">
        <f t="shared" si="5"/>
        <v>1.1300945067974385E-2</v>
      </c>
      <c r="BI36" s="80">
        <v>121004</v>
      </c>
      <c r="BJ36" s="280">
        <f t="shared" si="28"/>
        <v>-3017.1319999999978</v>
      </c>
      <c r="BK36" s="65">
        <f>BB36+AP36+AQ36</f>
        <v>2547.1319999999978</v>
      </c>
      <c r="BL36" s="561">
        <f>'FY 2013 by Agency'!AS36*Inflator!$E$13</f>
        <v>128191.34423110163</v>
      </c>
      <c r="BM36" s="52">
        <f t="shared" si="30"/>
        <v>128191.34423110163</v>
      </c>
      <c r="BN36" s="51" t="e">
        <f t="shared" si="31"/>
        <v>#DIV/0!</v>
      </c>
      <c r="BO36" s="52">
        <f>'FY 2013 by Agency'!AX36*Inflator!$E$13</f>
        <v>0</v>
      </c>
      <c r="BP36" s="52">
        <f t="shared" si="32"/>
        <v>0</v>
      </c>
      <c r="BQ36" s="51" t="e">
        <f t="shared" si="33"/>
        <v>#DIV/0!</v>
      </c>
      <c r="BR36" s="52">
        <f>'FY 2013 by Agency'!BE36*Inflator!$E$14</f>
        <v>0</v>
      </c>
      <c r="BS36" s="52">
        <f t="shared" si="34"/>
        <v>0</v>
      </c>
      <c r="BT36" s="51" t="e">
        <f t="shared" si="35"/>
        <v>#DIV/0!</v>
      </c>
      <c r="BU36" s="69">
        <f>'FY 2013 by Agency'!BL36*Inflator!$E$14</f>
        <v>0</v>
      </c>
      <c r="BV36" s="10">
        <f t="shared" si="36"/>
        <v>-128191.34423110163</v>
      </c>
      <c r="BW36" s="39">
        <v>0</v>
      </c>
      <c r="BX36" s="39">
        <f>'FY 2013 by Agency'!BW36*Inflator!E15</f>
        <v>0</v>
      </c>
      <c r="BY36" s="681">
        <v>0</v>
      </c>
      <c r="BZ36" s="39">
        <f t="shared" si="37"/>
        <v>0</v>
      </c>
      <c r="CA36" s="51" t="e">
        <f t="shared" si="38"/>
        <v>#DIV/0!</v>
      </c>
      <c r="CC36" s="39"/>
    </row>
    <row r="37" spans="1:82" s="63" customFormat="1" ht="18" customHeight="1">
      <c r="A37" s="268" t="s">
        <v>243</v>
      </c>
      <c r="B37" s="324" t="s">
        <v>78</v>
      </c>
      <c r="C37" s="324" t="s">
        <v>78</v>
      </c>
      <c r="D37" s="324" t="s">
        <v>78</v>
      </c>
      <c r="E37" s="324" t="s">
        <v>78</v>
      </c>
      <c r="F37" s="324" t="s">
        <v>78</v>
      </c>
      <c r="G37" s="324" t="s">
        <v>78</v>
      </c>
      <c r="H37" s="324" t="s">
        <v>78</v>
      </c>
      <c r="I37" s="324" t="s">
        <v>78</v>
      </c>
      <c r="J37" s="324" t="s">
        <v>78</v>
      </c>
      <c r="K37" s="324" t="s">
        <v>78</v>
      </c>
      <c r="L37" s="324" t="s">
        <v>78</v>
      </c>
      <c r="M37" s="324" t="s">
        <v>78</v>
      </c>
      <c r="N37" s="324" t="s">
        <v>78</v>
      </c>
      <c r="O37" s="324" t="s">
        <v>78</v>
      </c>
      <c r="P37" s="324" t="s">
        <v>78</v>
      </c>
      <c r="Q37" s="324" t="s">
        <v>78</v>
      </c>
      <c r="R37" s="324" t="s">
        <v>78</v>
      </c>
      <c r="S37" s="324" t="s">
        <v>78</v>
      </c>
      <c r="T37" s="324" t="s">
        <v>78</v>
      </c>
      <c r="U37" s="324" t="s">
        <v>78</v>
      </c>
      <c r="V37" s="324" t="s">
        <v>78</v>
      </c>
      <c r="W37" s="324" t="s">
        <v>78</v>
      </c>
      <c r="X37" s="324" t="s">
        <v>78</v>
      </c>
      <c r="Y37" s="324" t="s">
        <v>78</v>
      </c>
      <c r="Z37" s="324" t="s">
        <v>78</v>
      </c>
      <c r="AA37" s="324" t="s">
        <v>78</v>
      </c>
      <c r="AB37" s="324" t="s">
        <v>78</v>
      </c>
      <c r="AC37" s="324" t="s">
        <v>78</v>
      </c>
      <c r="AD37" s="52">
        <v>0</v>
      </c>
      <c r="AE37" s="52"/>
      <c r="AF37" s="52">
        <f>'FY 2013 by Agency'!AF37*Inflator!$E$12</f>
        <v>0</v>
      </c>
      <c r="AG37" s="324" t="s">
        <v>78</v>
      </c>
      <c r="AH37" s="324" t="s">
        <v>78</v>
      </c>
      <c r="AI37" s="52"/>
      <c r="AJ37" s="52"/>
      <c r="AK37" s="52"/>
      <c r="AL37" s="52"/>
      <c r="AM37" s="52"/>
      <c r="AN37" s="52"/>
      <c r="AO37" s="52"/>
      <c r="AP37" s="52"/>
      <c r="AQ37" s="52"/>
      <c r="AR37" s="52"/>
      <c r="AS37" s="52"/>
      <c r="AT37" s="52"/>
      <c r="AU37" s="58"/>
      <c r="AV37" s="52"/>
      <c r="AW37" s="58"/>
      <c r="AX37" s="307"/>
      <c r="AY37" s="280"/>
      <c r="AZ37" s="280"/>
      <c r="BA37" s="280"/>
      <c r="BB37" s="280"/>
      <c r="BC37" s="58"/>
      <c r="BD37" s="291"/>
      <c r="BE37" s="51"/>
      <c r="BI37" s="80"/>
      <c r="BJ37" s="280"/>
      <c r="BK37" s="65">
        <f t="shared" si="29"/>
        <v>0</v>
      </c>
      <c r="BL37" s="561">
        <f>'FY 2013 by Agency'!AS37*Inflator!$E$13</f>
        <v>3059.9627708269763</v>
      </c>
      <c r="BM37" s="52">
        <f t="shared" si="30"/>
        <v>3059.9627708269763</v>
      </c>
      <c r="BN37" s="51" t="e">
        <f t="shared" si="31"/>
        <v>#DIV/0!</v>
      </c>
      <c r="BO37" s="52">
        <f>'FY 2013 by Agency'!AX37*Inflator!$E$13</f>
        <v>3059.9627708269763</v>
      </c>
      <c r="BP37" s="52">
        <f t="shared" si="32"/>
        <v>3059.9627708269763</v>
      </c>
      <c r="BQ37" s="51" t="e">
        <f t="shared" si="33"/>
        <v>#DIV/0!</v>
      </c>
      <c r="BR37" s="52">
        <f>'FY 2013 by Agency'!BE37*Inflator!$E$14</f>
        <v>0</v>
      </c>
      <c r="BS37" s="52">
        <f t="shared" si="34"/>
        <v>-3059.9627708269763</v>
      </c>
      <c r="BT37" s="51">
        <f t="shared" si="35"/>
        <v>-1</v>
      </c>
      <c r="BU37" s="69">
        <f>'FY 2013 by Agency'!BL37*Inflator!$E$14</f>
        <v>0</v>
      </c>
      <c r="BV37" s="10">
        <f t="shared" si="36"/>
        <v>-3059.9627708269763</v>
      </c>
      <c r="BW37" s="39">
        <v>2951</v>
      </c>
      <c r="BX37" s="39">
        <f>'FY 2013 by Agency'!BW37*Inflator!E15</f>
        <v>2951</v>
      </c>
      <c r="BY37" s="681">
        <v>0</v>
      </c>
      <c r="BZ37" s="39">
        <f t="shared" si="37"/>
        <v>2951</v>
      </c>
      <c r="CA37" s="51" t="e">
        <f t="shared" si="38"/>
        <v>#DIV/0!</v>
      </c>
      <c r="CC37" s="39"/>
    </row>
    <row r="38" spans="1:82" s="63" customFormat="1" ht="18" customHeight="1">
      <c r="A38" s="53" t="s">
        <v>162</v>
      </c>
      <c r="B38" s="324" t="s">
        <v>78</v>
      </c>
      <c r="C38" s="324" t="s">
        <v>78</v>
      </c>
      <c r="D38" s="324" t="s">
        <v>78</v>
      </c>
      <c r="E38" s="324" t="s">
        <v>78</v>
      </c>
      <c r="F38" s="324" t="s">
        <v>78</v>
      </c>
      <c r="G38" s="324" t="s">
        <v>78</v>
      </c>
      <c r="H38" s="324" t="s">
        <v>78</v>
      </c>
      <c r="I38" s="324" t="s">
        <v>78</v>
      </c>
      <c r="J38" s="324" t="s">
        <v>78</v>
      </c>
      <c r="K38" s="324" t="s">
        <v>78</v>
      </c>
      <c r="L38" s="324" t="s">
        <v>78</v>
      </c>
      <c r="M38" s="324" t="s">
        <v>78</v>
      </c>
      <c r="N38" s="324" t="s">
        <v>78</v>
      </c>
      <c r="O38" s="324" t="s">
        <v>78</v>
      </c>
      <c r="P38" s="324" t="s">
        <v>78</v>
      </c>
      <c r="Q38" s="324" t="s">
        <v>78</v>
      </c>
      <c r="R38" s="324" t="s">
        <v>78</v>
      </c>
      <c r="S38" s="324" t="s">
        <v>78</v>
      </c>
      <c r="T38" s="324" t="s">
        <v>78</v>
      </c>
      <c r="U38" s="324" t="s">
        <v>78</v>
      </c>
      <c r="V38" s="324" t="s">
        <v>78</v>
      </c>
      <c r="W38" s="324" t="s">
        <v>78</v>
      </c>
      <c r="X38" s="52">
        <f>'FY 2013 by Agency'!X38*Inflator!$E$10</f>
        <v>10790.727214988887</v>
      </c>
      <c r="Y38" s="324" t="s">
        <v>78</v>
      </c>
      <c r="Z38" s="324" t="s">
        <v>78</v>
      </c>
      <c r="AA38" s="324" t="s">
        <v>78</v>
      </c>
      <c r="AB38" s="324" t="s">
        <v>78</v>
      </c>
      <c r="AC38" s="324" t="s">
        <v>78</v>
      </c>
      <c r="AD38" s="324" t="s">
        <v>78</v>
      </c>
      <c r="AE38" s="69">
        <f>'FY 2013 by Agency'!AE38*Inflator!$B$8</f>
        <v>0</v>
      </c>
      <c r="AF38" s="52">
        <f>'FY 2013 by Agency'!AF38*Inflator!$E$12</f>
        <v>0</v>
      </c>
      <c r="AG38" s="324" t="s">
        <v>78</v>
      </c>
      <c r="AH38" s="324" t="s">
        <v>78</v>
      </c>
      <c r="AI38" s="69">
        <f>'FY 2013 by Agency'!AI38*Inflator!$B$8</f>
        <v>0</v>
      </c>
      <c r="AJ38" s="69">
        <f>'FY 2013 by Agency'!AJ38*Inflator!$B$8</f>
        <v>0</v>
      </c>
      <c r="AK38" s="69">
        <f>'FY 2013 by Agency'!AK38</f>
        <v>0</v>
      </c>
      <c r="AL38" s="69">
        <f>'FY 2013 by Agency'!AL38</f>
        <v>0</v>
      </c>
      <c r="AM38" s="69">
        <f>'FY 2013 by Agency'!AM38</f>
        <v>0</v>
      </c>
      <c r="AN38" s="69">
        <f>'FY 2013 by Agency'!AN38</f>
        <v>0</v>
      </c>
      <c r="AO38" s="69">
        <f>'FY 2013 by Agency'!AO38</f>
        <v>0</v>
      </c>
      <c r="AP38" s="69">
        <f>'FY 2013 by Agency'!AP38</f>
        <v>0</v>
      </c>
      <c r="AQ38" s="69">
        <f>'FY 2013 by Agency'!AQ38</f>
        <v>0</v>
      </c>
      <c r="AR38" s="69">
        <f>'FY 2013 by Agency'!AR38</f>
        <v>0</v>
      </c>
      <c r="AS38" s="69">
        <f>'FY 2013 by Agency'!AS38</f>
        <v>0</v>
      </c>
      <c r="AT38" s="69" t="e">
        <f t="shared" si="20"/>
        <v>#VALUE!</v>
      </c>
      <c r="AU38" s="72"/>
      <c r="AV38" s="69">
        <f t="shared" si="22"/>
        <v>0</v>
      </c>
      <c r="AW38" s="72" t="e">
        <f t="shared" si="23"/>
        <v>#DIV/0!</v>
      </c>
      <c r="AX38" s="307" t="s">
        <v>276</v>
      </c>
      <c r="AY38" s="304">
        <v>3279</v>
      </c>
      <c r="AZ38" s="304">
        <f t="shared" si="24"/>
        <v>3279</v>
      </c>
      <c r="BA38" s="304">
        <f t="shared" si="25"/>
        <v>3279</v>
      </c>
      <c r="BB38" s="72"/>
      <c r="BC38" s="72"/>
      <c r="BD38" s="308">
        <v>327.9</v>
      </c>
      <c r="BE38" s="309">
        <f t="shared" si="5"/>
        <v>9.9999999999999992E-2</v>
      </c>
      <c r="BI38" s="80">
        <v>2951</v>
      </c>
      <c r="BJ38" s="280">
        <f t="shared" si="28"/>
        <v>-328</v>
      </c>
      <c r="BK38" s="65">
        <f t="shared" si="29"/>
        <v>2951</v>
      </c>
      <c r="BL38" s="561">
        <f>'FY 2013 by Agency'!AS38*Inflator!$E$13</f>
        <v>0</v>
      </c>
      <c r="BM38" s="52">
        <f t="shared" si="30"/>
        <v>0</v>
      </c>
      <c r="BN38" s="51" t="e">
        <f t="shared" si="31"/>
        <v>#DIV/0!</v>
      </c>
      <c r="BO38" s="52">
        <f>'FY 2013 by Agency'!AX38*Inflator!$E$13</f>
        <v>0</v>
      </c>
      <c r="BP38" s="52">
        <f t="shared" si="32"/>
        <v>0</v>
      </c>
      <c r="BQ38" s="51" t="e">
        <f t="shared" si="33"/>
        <v>#DIV/0!</v>
      </c>
      <c r="BR38" s="52">
        <f>'FY 2013 by Agency'!BE38*Inflator!$E$14</f>
        <v>0</v>
      </c>
      <c r="BS38" s="52">
        <f t="shared" si="34"/>
        <v>0</v>
      </c>
      <c r="BT38" s="51" t="e">
        <f t="shared" si="35"/>
        <v>#DIV/0!</v>
      </c>
      <c r="BU38" s="69">
        <f>'FY 2013 by Agency'!BL38*Inflator!$E$14</f>
        <v>0</v>
      </c>
      <c r="BV38" s="10">
        <f t="shared" si="36"/>
        <v>0</v>
      </c>
      <c r="BW38" s="39">
        <v>0</v>
      </c>
      <c r="BX38" s="39">
        <f>'FY 2013 by Agency'!BW38*Inflator!E15</f>
        <v>0</v>
      </c>
      <c r="BY38" s="681"/>
      <c r="BZ38" s="39">
        <f t="shared" si="37"/>
        <v>0</v>
      </c>
      <c r="CA38" s="51" t="e">
        <f t="shared" si="38"/>
        <v>#DIV/0!</v>
      </c>
      <c r="CC38" s="39"/>
    </row>
    <row r="39" spans="1:82" s="63" customFormat="1" ht="18" customHeight="1">
      <c r="A39" s="618" t="s">
        <v>418</v>
      </c>
      <c r="B39" s="324"/>
      <c r="C39" s="324"/>
      <c r="D39" s="324"/>
      <c r="E39" s="324"/>
      <c r="F39" s="324"/>
      <c r="G39" s="324"/>
      <c r="H39" s="324"/>
      <c r="I39" s="324"/>
      <c r="J39" s="324"/>
      <c r="K39" s="324"/>
      <c r="L39" s="324"/>
      <c r="M39" s="324"/>
      <c r="N39" s="324"/>
      <c r="O39" s="324"/>
      <c r="P39" s="324"/>
      <c r="Q39" s="324"/>
      <c r="R39" s="324"/>
      <c r="S39" s="324"/>
      <c r="T39" s="324"/>
      <c r="U39" s="324"/>
      <c r="V39" s="324"/>
      <c r="W39" s="324"/>
      <c r="X39" s="52"/>
      <c r="Y39" s="324"/>
      <c r="Z39" s="324"/>
      <c r="AA39" s="324"/>
      <c r="AB39" s="324"/>
      <c r="AC39" s="324"/>
      <c r="AD39" s="324"/>
      <c r="AE39" s="69"/>
      <c r="AF39" s="52"/>
      <c r="AG39" s="324"/>
      <c r="AH39" s="324"/>
      <c r="AI39" s="69"/>
      <c r="AJ39" s="69"/>
      <c r="AK39" s="69"/>
      <c r="AL39" s="69"/>
      <c r="AM39" s="69"/>
      <c r="AN39" s="69"/>
      <c r="AO39" s="69"/>
      <c r="AP39" s="69"/>
      <c r="AQ39" s="69"/>
      <c r="AR39" s="69"/>
      <c r="AS39" s="69"/>
      <c r="AT39" s="69"/>
      <c r="AU39" s="72"/>
      <c r="AV39" s="69"/>
      <c r="AW39" s="72"/>
      <c r="AX39" s="307"/>
      <c r="AY39" s="304"/>
      <c r="AZ39" s="304"/>
      <c r="BA39" s="304"/>
      <c r="BB39" s="72"/>
      <c r="BC39" s="72"/>
      <c r="BD39" s="308"/>
      <c r="BE39" s="309"/>
      <c r="BI39" s="80"/>
      <c r="BJ39" s="280"/>
      <c r="BK39" s="65"/>
      <c r="BL39" s="561"/>
      <c r="BM39" s="52"/>
      <c r="BN39" s="51"/>
      <c r="BO39" s="52"/>
      <c r="BP39" s="52"/>
      <c r="BQ39" s="51"/>
      <c r="BR39" s="52"/>
      <c r="BS39" s="52"/>
      <c r="BT39" s="51"/>
      <c r="BU39" s="69"/>
      <c r="BV39" s="10"/>
      <c r="BW39" s="39"/>
      <c r="BX39" s="39">
        <f>'FY 2013 by Agency'!BW39*Inflator!E15</f>
        <v>717.851</v>
      </c>
      <c r="BY39" s="534"/>
      <c r="BZ39" s="39">
        <f t="shared" si="37"/>
        <v>0</v>
      </c>
      <c r="CA39" s="51" t="e">
        <f t="shared" si="38"/>
        <v>#DIV/0!</v>
      </c>
      <c r="CC39" s="39"/>
    </row>
    <row r="40" spans="1:82" s="306" customFormat="1" ht="18" customHeight="1" thickBot="1">
      <c r="A40" s="254" t="s">
        <v>359</v>
      </c>
      <c r="B40" s="328" t="s">
        <v>78</v>
      </c>
      <c r="C40" s="328" t="s">
        <v>78</v>
      </c>
      <c r="D40" s="328" t="s">
        <v>78</v>
      </c>
      <c r="E40" s="328" t="s">
        <v>78</v>
      </c>
      <c r="F40" s="328" t="s">
        <v>78</v>
      </c>
      <c r="G40" s="328" t="s">
        <v>78</v>
      </c>
      <c r="H40" s="328" t="s">
        <v>78</v>
      </c>
      <c r="I40" s="328" t="s">
        <v>78</v>
      </c>
      <c r="J40" s="328" t="s">
        <v>78</v>
      </c>
      <c r="K40" s="328" t="s">
        <v>78</v>
      </c>
      <c r="L40" s="328" t="s">
        <v>78</v>
      </c>
      <c r="M40" s="328" t="s">
        <v>78</v>
      </c>
      <c r="N40" s="328" t="s">
        <v>78</v>
      </c>
      <c r="O40" s="328" t="s">
        <v>78</v>
      </c>
      <c r="P40" s="328" t="s">
        <v>78</v>
      </c>
      <c r="Q40" s="328" t="s">
        <v>78</v>
      </c>
      <c r="R40" s="328" t="s">
        <v>78</v>
      </c>
      <c r="S40" s="328" t="s">
        <v>78</v>
      </c>
      <c r="T40" s="328" t="s">
        <v>78</v>
      </c>
      <c r="U40" s="328" t="s">
        <v>78</v>
      </c>
      <c r="V40" s="328" t="s">
        <v>78</v>
      </c>
      <c r="W40" s="328" t="s">
        <v>78</v>
      </c>
      <c r="X40" s="328" t="s">
        <v>78</v>
      </c>
      <c r="Y40" s="328" t="s">
        <v>78</v>
      </c>
      <c r="Z40" s="328" t="s">
        <v>78</v>
      </c>
      <c r="AA40" s="328" t="s">
        <v>78</v>
      </c>
      <c r="AB40" s="328" t="s">
        <v>78</v>
      </c>
      <c r="AC40" s="328" t="s">
        <v>78</v>
      </c>
      <c r="AD40" s="328" t="s">
        <v>78</v>
      </c>
      <c r="AE40" s="75"/>
      <c r="AF40" s="75">
        <f>'FY 2013 by Agency'!AF40*Inflator!$E$12</f>
        <v>0</v>
      </c>
      <c r="AG40" s="75"/>
      <c r="AH40" s="77"/>
      <c r="AI40" s="75"/>
      <c r="AJ40" s="75"/>
      <c r="AK40" s="75"/>
      <c r="AL40" s="75"/>
      <c r="AM40" s="75"/>
      <c r="AN40" s="75"/>
      <c r="AO40" s="75"/>
      <c r="AP40" s="75"/>
      <c r="AQ40" s="75"/>
      <c r="AR40" s="75"/>
      <c r="AS40" s="75"/>
      <c r="AT40" s="75"/>
      <c r="AU40" s="77"/>
      <c r="AV40" s="75"/>
      <c r="AW40" s="77"/>
      <c r="AX40" s="489"/>
      <c r="AY40" s="283"/>
      <c r="AZ40" s="283"/>
      <c r="BA40" s="283"/>
      <c r="BB40" s="77"/>
      <c r="BC40" s="77"/>
      <c r="BD40" s="386"/>
      <c r="BE40" s="55"/>
      <c r="BF40" s="54"/>
      <c r="BG40" s="54"/>
      <c r="BH40" s="54"/>
      <c r="BI40" s="94">
        <v>263</v>
      </c>
      <c r="BJ40" s="283">
        <f t="shared" si="28"/>
        <v>263</v>
      </c>
      <c r="BK40" s="94">
        <f t="shared" si="29"/>
        <v>263</v>
      </c>
      <c r="BL40" s="562">
        <f>'FY 2013 by Agency'!AS40*Inflator!$E$13</f>
        <v>0</v>
      </c>
      <c r="BM40" s="52">
        <f t="shared" si="30"/>
        <v>0</v>
      </c>
      <c r="BN40" s="55" t="e">
        <f t="shared" si="31"/>
        <v>#DIV/0!</v>
      </c>
      <c r="BO40" s="75">
        <f>'FY 2013 by Agency'!AX40*Inflator!$E$13</f>
        <v>272.71101617332931</v>
      </c>
      <c r="BP40" s="75">
        <f t="shared" si="32"/>
        <v>272.71101617332931</v>
      </c>
      <c r="BQ40" s="55" t="e">
        <f t="shared" si="33"/>
        <v>#DIV/0!</v>
      </c>
      <c r="BR40" s="75">
        <f>'FY 2013 by Agency'!BE40*Inflator!$E$14</f>
        <v>355.12093162137955</v>
      </c>
      <c r="BS40" s="75">
        <f t="shared" si="34"/>
        <v>82.409915448050242</v>
      </c>
      <c r="BT40" s="55">
        <f t="shared" si="35"/>
        <v>0.30218770258870753</v>
      </c>
      <c r="BU40" s="75">
        <f>'FY 2013 by Agency'!BL40*Inflator!$E$14</f>
        <v>355.12093162137955</v>
      </c>
      <c r="BV40" s="10">
        <f t="shared" si="36"/>
        <v>355.12093162137955</v>
      </c>
      <c r="BW40" s="39">
        <v>835</v>
      </c>
      <c r="BX40" s="39">
        <f>'FY 2013 by Agency'!BW40*Inflator!E15</f>
        <v>835</v>
      </c>
      <c r="BY40" s="534">
        <v>1039</v>
      </c>
      <c r="BZ40" s="39">
        <f t="shared" si="37"/>
        <v>479.87906837862045</v>
      </c>
      <c r="CA40" s="51">
        <f t="shared" si="38"/>
        <v>1.351311695955604</v>
      </c>
      <c r="CC40" s="39"/>
    </row>
    <row r="41" spans="1:82" s="20" customFormat="1" ht="18" customHeight="1">
      <c r="A41" s="85" t="s">
        <v>55</v>
      </c>
      <c r="B41" s="322">
        <f>'FY 2013 by Agency'!B41*Inflator!$E$2</f>
        <v>277354.29824561405</v>
      </c>
      <c r="C41" s="322">
        <f>'FY 2013 by Agency'!C41*Inflator!$E$3</f>
        <v>288965.2372488408</v>
      </c>
      <c r="D41" s="47">
        <f t="shared" si="6"/>
        <v>11610.939003226755</v>
      </c>
      <c r="E41" s="356">
        <f t="shared" si="7"/>
        <v>4.1863201964674669E-2</v>
      </c>
      <c r="F41" s="10">
        <f>'FY 2013 by Agency'!F41*Inflator!$E$4</f>
        <v>303320.97601827182</v>
      </c>
      <c r="G41" s="12">
        <f t="shared" si="8"/>
        <v>14355.738769431016</v>
      </c>
      <c r="H41" s="15">
        <f t="shared" si="9"/>
        <v>4.9679812375038913E-2</v>
      </c>
      <c r="I41" s="10">
        <f>'FY 2013 by Agency'!I41*Inflator!$E$5</f>
        <v>261407.16697657126</v>
      </c>
      <c r="J41" s="12">
        <f t="shared" si="10"/>
        <v>-41913.809041700559</v>
      </c>
      <c r="K41" s="15">
        <f t="shared" si="11"/>
        <v>-0.13818302180056188</v>
      </c>
      <c r="L41" s="10">
        <f>'FY 2013 by Agency'!L41*Inflator!$E$6</f>
        <v>285777.85241730278</v>
      </c>
      <c r="M41" s="10">
        <f t="shared" si="12"/>
        <v>24370.685440731526</v>
      </c>
      <c r="N41" s="14">
        <f t="shared" si="13"/>
        <v>9.3228834245832906E-2</v>
      </c>
      <c r="O41" s="10">
        <f>'FY 2013 by Agency'!O41*Inflator!$E$7</f>
        <v>337781.05455825408</v>
      </c>
      <c r="P41" s="136">
        <f>O41-L41</f>
        <v>52003.202140951296</v>
      </c>
      <c r="Q41" s="137">
        <f>P41/L41</f>
        <v>0.18197072201737455</v>
      </c>
      <c r="R41" s="52">
        <f>'FY 2013 by Agency'!R41*Inflator!$E$8</f>
        <v>384791.78071961977</v>
      </c>
      <c r="S41" s="136">
        <f t="shared" si="1"/>
        <v>47010.726161365688</v>
      </c>
      <c r="T41" s="137">
        <f>S41/O41</f>
        <v>0.13917514178776469</v>
      </c>
      <c r="U41" s="52">
        <f>'FY 2013 by Agency'!U41*Inflator!$E$9</f>
        <v>412647.44164456229</v>
      </c>
      <c r="V41" s="136">
        <f>U41-R41</f>
        <v>27855.660924942524</v>
      </c>
      <c r="W41" s="36">
        <f t="shared" ref="W41" si="41">V41/R41</f>
        <v>7.2391517492520652E-2</v>
      </c>
      <c r="X41" s="52">
        <f>'FY 2013 by Agency'!X41*Inflator!$E$10</f>
        <v>412280.23563035892</v>
      </c>
      <c r="Y41" s="136">
        <f>X41-U41</f>
        <v>-367.20601420337334</v>
      </c>
      <c r="Z41" s="36">
        <f t="shared" ref="Z41" si="42">Y41/U41</f>
        <v>-8.8987832504162153E-4</v>
      </c>
      <c r="AA41" s="52">
        <f>'FY 2013 by Agency'!AA41*Inflator!$E$11</f>
        <v>439332.4969735585</v>
      </c>
      <c r="AB41" s="136">
        <f>AA41-X41</f>
        <v>27052.261343199585</v>
      </c>
      <c r="AC41" s="36">
        <f>AB41/X41</f>
        <v>6.5616197443561244E-2</v>
      </c>
      <c r="AD41" s="46" t="e">
        <f>'FY 2013 by Agency'!AD41*Inflator!#REF!</f>
        <v>#REF!</v>
      </c>
      <c r="AE41" s="182" t="e">
        <f>SUM(AE7:AE40)</f>
        <v>#VALUE!</v>
      </c>
      <c r="AF41" s="52">
        <f>'FY 2013 by Agency'!AF41*Inflator!$E$12</f>
        <v>371593.44235588977</v>
      </c>
      <c r="AG41" s="12">
        <f>AF41-AA41</f>
        <v>-67739.054617668735</v>
      </c>
      <c r="AH41" s="36">
        <f>AG41/AA41</f>
        <v>-0.15418630555286614</v>
      </c>
      <c r="AI41" s="136">
        <f>SUM(AI7:AI40)</f>
        <v>0</v>
      </c>
      <c r="AJ41" s="136">
        <f t="shared" ref="AJ41:AM41" si="43">SUM(AJ7:AJ38)</f>
        <v>0</v>
      </c>
      <c r="AK41" s="136">
        <f t="shared" si="43"/>
        <v>321065</v>
      </c>
      <c r="AL41" s="136">
        <f t="shared" si="43"/>
        <v>2050</v>
      </c>
      <c r="AM41" s="136">
        <f t="shared" si="43"/>
        <v>323115</v>
      </c>
      <c r="AN41" s="136">
        <f t="shared" ref="AN41:AS41" si="44">SUM(AN7:AN40)</f>
        <v>413423</v>
      </c>
      <c r="AO41" s="136">
        <f t="shared" si="44"/>
        <v>477608</v>
      </c>
      <c r="AP41" s="136">
        <f t="shared" si="44"/>
        <v>34814</v>
      </c>
      <c r="AQ41" s="136">
        <f t="shared" si="44"/>
        <v>2383</v>
      </c>
      <c r="AR41" s="136">
        <f t="shared" si="44"/>
        <v>37197</v>
      </c>
      <c r="AS41" s="136">
        <f t="shared" si="44"/>
        <v>333613.97927000001</v>
      </c>
      <c r="AT41" s="12" t="e">
        <f t="shared" si="20"/>
        <v>#REF!</v>
      </c>
      <c r="AU41" s="36" t="e">
        <f t="shared" si="21"/>
        <v>#REF!</v>
      </c>
      <c r="AV41" s="12">
        <f t="shared" si="22"/>
        <v>-37979.463085889758</v>
      </c>
      <c r="AW41" s="36">
        <f t="shared" si="23"/>
        <v>-0.10220703262442216</v>
      </c>
      <c r="AY41" s="281">
        <f>SUM(AY7:AY40)</f>
        <v>479299.27185999998</v>
      </c>
      <c r="AZ41" s="300">
        <f>SUM(AZ7:AZ38)</f>
        <v>1691.2718599999944</v>
      </c>
      <c r="BA41" s="300"/>
      <c r="BB41" s="93">
        <f>SUM(BB7:BB38)</f>
        <v>335305.25112999999</v>
      </c>
      <c r="BC41" s="36"/>
      <c r="BD41" s="292">
        <f>SUM(BD7:BD38)</f>
        <v>4234.2110000000002</v>
      </c>
      <c r="BE41" s="15">
        <f>BD41/AY41</f>
        <v>8.8341694815609571E-3</v>
      </c>
      <c r="BF41" s="15">
        <f>(BB41-X41)/X41</f>
        <v>-0.18670549264305009</v>
      </c>
      <c r="BI41" s="139">
        <f>SUM(BI7:BI40)</f>
        <v>464046</v>
      </c>
      <c r="BJ41" s="300">
        <f t="shared" si="28"/>
        <v>-15253.271859999979</v>
      </c>
      <c r="BK41" s="138">
        <f>SUM(BK7:BK40)</f>
        <v>382786.13199999998</v>
      </c>
      <c r="BL41" s="563">
        <f>SUM(BL7:BL40)</f>
        <v>474123.69136551127</v>
      </c>
      <c r="BM41" s="52">
        <f t="shared" si="30"/>
        <v>102530.2490096215</v>
      </c>
      <c r="BN41" s="264">
        <f t="shared" si="31"/>
        <v>0.2759205016094558</v>
      </c>
      <c r="BO41" s="12">
        <f>'FY 2013 by Agency'!AX41*Inflator!$E$13</f>
        <v>355708.48825144954</v>
      </c>
      <c r="BP41" s="12">
        <f t="shared" si="32"/>
        <v>-15884.954104440229</v>
      </c>
      <c r="BQ41" s="15">
        <f t="shared" si="33"/>
        <v>-4.2748208912757345E-2</v>
      </c>
      <c r="BR41" s="12">
        <f>'FY 2013 by Agency'!BE41*Inflator!$E$14</f>
        <v>487474.5028366677</v>
      </c>
      <c r="BS41" s="12">
        <f t="shared" si="34"/>
        <v>131766.01458521816</v>
      </c>
      <c r="BT41" s="15">
        <f t="shared" si="35"/>
        <v>0.3704325843696849</v>
      </c>
      <c r="BU41" s="136">
        <f>SUM(BU7:BU40)</f>
        <v>522971.37653030758</v>
      </c>
      <c r="BV41" s="10">
        <f t="shared" si="36"/>
        <v>48847.685164796305</v>
      </c>
      <c r="BW41" s="30">
        <f>SUM(BW7:BW40)</f>
        <v>541241</v>
      </c>
      <c r="BX41" s="136">
        <f>SUM(BX7:BX40)</f>
        <v>591398.08499999996</v>
      </c>
      <c r="BY41" s="30">
        <f>SUM(BY7:BY40)</f>
        <v>541227</v>
      </c>
      <c r="BZ41" s="39">
        <f t="shared" si="37"/>
        <v>53766.4971633323</v>
      </c>
      <c r="CA41" s="51">
        <f t="shared" si="38"/>
        <v>0.11029601927989904</v>
      </c>
      <c r="CC41" s="39"/>
      <c r="CD41" s="664"/>
    </row>
    <row r="42" spans="1:82" s="20" customFormat="1" ht="18" customHeight="1">
      <c r="A42" s="85"/>
      <c r="B42" s="322"/>
      <c r="C42" s="322"/>
      <c r="D42" s="322"/>
      <c r="E42" s="351"/>
      <c r="F42" s="10"/>
      <c r="G42" s="10"/>
      <c r="H42" s="14"/>
      <c r="I42" s="10"/>
      <c r="J42" s="10"/>
      <c r="K42" s="14"/>
      <c r="L42" s="10"/>
      <c r="M42" s="10"/>
      <c r="N42" s="14"/>
      <c r="O42" s="10"/>
      <c r="P42" s="136"/>
      <c r="Q42" s="137"/>
      <c r="R42" s="52"/>
      <c r="S42" s="136"/>
      <c r="T42" s="137"/>
      <c r="U42" s="52"/>
      <c r="V42" s="136"/>
      <c r="W42" s="36"/>
      <c r="X42" s="52"/>
      <c r="Y42" s="136"/>
      <c r="Z42" s="36"/>
      <c r="AA42" s="52"/>
      <c r="AB42" s="136"/>
      <c r="AC42" s="36"/>
      <c r="AD42" s="52"/>
      <c r="AE42" s="182"/>
      <c r="AF42" s="136"/>
      <c r="AG42" s="52"/>
      <c r="AH42" s="58"/>
      <c r="AI42" s="136"/>
      <c r="AJ42" s="136"/>
      <c r="AK42" s="136"/>
      <c r="AL42" s="136"/>
      <c r="AM42" s="136"/>
      <c r="AN42" s="136"/>
      <c r="AO42" s="136"/>
      <c r="AP42" s="136"/>
      <c r="AQ42" s="136"/>
      <c r="AR42" s="52">
        <f>'FY 2013 by Agency'!AR42</f>
        <v>0</v>
      </c>
      <c r="AS42" s="52">
        <f>'FY 2013 by Agency'!AS42</f>
        <v>0</v>
      </c>
      <c r="AT42" s="12"/>
      <c r="AU42" s="36"/>
      <c r="AV42" s="12"/>
      <c r="AW42" s="58"/>
      <c r="AX42" s="58"/>
      <c r="AY42" s="58"/>
      <c r="AZ42" s="58"/>
      <c r="BA42" s="58"/>
      <c r="BB42" s="58"/>
      <c r="BC42" s="58"/>
      <c r="BD42" s="289"/>
      <c r="BE42" s="280"/>
      <c r="BI42" s="139"/>
      <c r="BK42" s="318"/>
      <c r="BL42" s="563"/>
      <c r="BM42" s="136"/>
      <c r="BN42" s="218"/>
      <c r="BP42" s="52"/>
      <c r="BQ42" s="50"/>
      <c r="BR42" s="52"/>
      <c r="BS42" s="52"/>
      <c r="BT42" s="50"/>
      <c r="BU42" s="202"/>
      <c r="BV42" s="202"/>
      <c r="BW42" s="39"/>
      <c r="BX42" s="136"/>
      <c r="BY42" s="534"/>
      <c r="BZ42" s="39">
        <f t="shared" si="37"/>
        <v>0</v>
      </c>
      <c r="CA42" s="51" t="e">
        <f t="shared" si="38"/>
        <v>#DIV/0!</v>
      </c>
      <c r="CC42" s="39"/>
    </row>
    <row r="43" spans="1:82" s="20" customFormat="1" ht="18" customHeight="1">
      <c r="A43" s="85"/>
      <c r="B43" s="322"/>
      <c r="C43" s="322"/>
      <c r="D43" s="322"/>
      <c r="E43" s="351"/>
      <c r="F43" s="10"/>
      <c r="G43" s="10"/>
      <c r="H43" s="14"/>
      <c r="I43" s="10"/>
      <c r="J43" s="10"/>
      <c r="K43" s="14"/>
      <c r="L43" s="10"/>
      <c r="M43" s="10"/>
      <c r="N43" s="14"/>
      <c r="O43" s="10"/>
      <c r="P43" s="136"/>
      <c r="Q43" s="137"/>
      <c r="R43" s="52"/>
      <c r="S43" s="136"/>
      <c r="T43" s="137"/>
      <c r="U43" s="52"/>
      <c r="V43" s="136"/>
      <c r="W43" s="36"/>
      <c r="X43" s="52"/>
      <c r="Y43" s="136"/>
      <c r="Z43" s="36"/>
      <c r="AA43" s="52"/>
      <c r="AB43" s="136"/>
      <c r="AC43" s="36"/>
      <c r="AD43" s="52"/>
      <c r="AE43" s="182"/>
      <c r="AF43" s="136"/>
      <c r="AG43" s="52"/>
      <c r="AH43" s="58"/>
      <c r="AI43" s="136"/>
      <c r="AJ43" s="136"/>
      <c r="AK43" s="136"/>
      <c r="AL43" s="136"/>
      <c r="AM43" s="136"/>
      <c r="AN43" s="136"/>
      <c r="AO43" s="136"/>
      <c r="AP43" s="136"/>
      <c r="AQ43" s="136"/>
      <c r="AR43" s="52">
        <f>'FY 2013 by Agency'!AR43</f>
        <v>0</v>
      </c>
      <c r="AS43" s="52">
        <f>'FY 2013 by Agency'!AS43</f>
        <v>0</v>
      </c>
      <c r="AT43" s="12" t="e">
        <f>AR43-AD41</f>
        <v>#REF!</v>
      </c>
      <c r="AU43" s="36" t="e">
        <f>AT43/AD41</f>
        <v>#REF!</v>
      </c>
      <c r="AV43" s="12">
        <f>AS43-AF41</f>
        <v>-371593.44235588977</v>
      </c>
      <c r="AW43" s="58">
        <f>AV43/AF41</f>
        <v>-1</v>
      </c>
      <c r="AX43" s="58"/>
      <c r="AY43" s="65">
        <f>+AS43+AZ41</f>
        <v>1691.2718599999944</v>
      </c>
      <c r="AZ43" s="65">
        <f>+AY43-AF41</f>
        <v>-369902.17049588979</v>
      </c>
      <c r="BA43" s="65"/>
      <c r="BB43" s="58">
        <f>+AZ43/AF41</f>
        <v>-0.99544859605358649</v>
      </c>
      <c r="BC43" s="58"/>
      <c r="BD43" s="289"/>
      <c r="BE43" s="280"/>
      <c r="BI43" s="139"/>
      <c r="BK43" s="318"/>
      <c r="BL43" s="563"/>
      <c r="BM43" s="136"/>
      <c r="BN43" s="218"/>
      <c r="BP43" s="52"/>
      <c r="BQ43" s="50"/>
      <c r="BR43" s="52"/>
      <c r="BS43" s="52"/>
      <c r="BT43" s="50"/>
      <c r="BU43" s="202"/>
      <c r="BV43" s="202"/>
      <c r="BW43" s="39"/>
      <c r="BX43" s="136"/>
      <c r="BY43" s="534"/>
      <c r="BZ43" s="39">
        <f t="shared" si="37"/>
        <v>0</v>
      </c>
      <c r="CA43" s="51" t="e">
        <f t="shared" si="38"/>
        <v>#DIV/0!</v>
      </c>
      <c r="CC43" s="39"/>
    </row>
    <row r="44" spans="1:82" s="13" customFormat="1" ht="18" customHeight="1">
      <c r="A44" s="64"/>
      <c r="B44" s="322"/>
      <c r="C44" s="322"/>
      <c r="D44" s="322"/>
      <c r="E44" s="351"/>
      <c r="F44" s="10"/>
      <c r="G44" s="10"/>
      <c r="H44" s="14"/>
      <c r="I44" s="10"/>
      <c r="J44" s="10"/>
      <c r="K44" s="14"/>
      <c r="L44" s="10"/>
      <c r="M44" s="10"/>
      <c r="N44" s="14"/>
      <c r="O44" s="10"/>
      <c r="P44" s="12"/>
      <c r="Q44" s="36"/>
      <c r="R44" s="52"/>
      <c r="S44" s="12"/>
      <c r="T44" s="36"/>
      <c r="U44" s="52"/>
      <c r="V44" s="12"/>
      <c r="W44" s="12"/>
      <c r="X44" s="52"/>
      <c r="Y44" s="12"/>
      <c r="Z44" s="12"/>
      <c r="AA44" s="52"/>
      <c r="AB44" s="12"/>
      <c r="AC44" s="12"/>
      <c r="AD44" s="52"/>
      <c r="AE44" s="178"/>
      <c r="AF44" s="12"/>
      <c r="AG44" s="12"/>
      <c r="AH44" s="12"/>
      <c r="AI44" s="12"/>
      <c r="AJ44" s="28"/>
      <c r="AK44" s="28"/>
      <c r="AL44" s="28"/>
      <c r="AM44" s="28"/>
      <c r="AN44" s="165"/>
      <c r="AO44" s="97"/>
      <c r="AP44" s="12"/>
      <c r="AQ44" s="12"/>
      <c r="AR44" s="12"/>
      <c r="AS44" s="12"/>
      <c r="AT44" s="12"/>
      <c r="AU44" s="30"/>
      <c r="AV44" s="97"/>
      <c r="AW44" s="136"/>
      <c r="AY44" s="28">
        <f>+AY43-2892</f>
        <v>-1200.7281400000056</v>
      </c>
      <c r="AZ44" s="13" t="s">
        <v>350</v>
      </c>
      <c r="BD44" s="292"/>
      <c r="BE44" s="300"/>
      <c r="BI44" s="28"/>
      <c r="BK44" s="319"/>
      <c r="BL44" s="564"/>
      <c r="BM44" s="12"/>
      <c r="BN44" s="287"/>
      <c r="BP44" s="52"/>
      <c r="BQ44" s="50"/>
      <c r="BR44" s="52"/>
      <c r="BS44" s="52"/>
      <c r="BT44" s="50"/>
      <c r="BU44" s="256"/>
      <c r="BV44" s="256"/>
      <c r="BW44" s="39"/>
      <c r="BY44" s="534"/>
      <c r="BZ44" s="39">
        <f t="shared" si="37"/>
        <v>0</v>
      </c>
      <c r="CA44" s="51" t="e">
        <f t="shared" si="38"/>
        <v>#DIV/0!</v>
      </c>
      <c r="CC44" s="39"/>
    </row>
    <row r="45" spans="1:82" s="13" customFormat="1" ht="18" customHeight="1">
      <c r="A45" s="73" t="s">
        <v>158</v>
      </c>
      <c r="B45" s="322"/>
      <c r="C45" s="322"/>
      <c r="D45" s="322"/>
      <c r="E45" s="351"/>
      <c r="F45" s="10"/>
      <c r="G45" s="10"/>
      <c r="H45" s="14"/>
      <c r="I45" s="10"/>
      <c r="J45" s="10"/>
      <c r="K45" s="14"/>
      <c r="L45" s="10"/>
      <c r="M45" s="10"/>
      <c r="N45" s="14"/>
      <c r="O45" s="10"/>
      <c r="P45" s="12"/>
      <c r="Q45" s="36"/>
      <c r="R45" s="52"/>
      <c r="S45" s="12"/>
      <c r="T45" s="36"/>
      <c r="U45" s="52"/>
      <c r="V45" s="12"/>
      <c r="W45" s="12"/>
      <c r="X45" s="52"/>
      <c r="Y45" s="12"/>
      <c r="Z45" s="12"/>
      <c r="AA45" s="52"/>
      <c r="AB45" s="12"/>
      <c r="AC45" s="12"/>
      <c r="AD45" s="52"/>
      <c r="AE45" s="178"/>
      <c r="AF45" s="12"/>
      <c r="AG45" s="12"/>
      <c r="AH45" s="12"/>
      <c r="AI45" s="12"/>
      <c r="AJ45" s="28"/>
      <c r="AK45" s="28"/>
      <c r="AL45" s="28"/>
      <c r="AM45" s="28"/>
      <c r="AN45" s="165"/>
      <c r="AO45" s="97"/>
      <c r="AP45" s="12"/>
      <c r="AQ45" s="12"/>
      <c r="AR45" s="12"/>
      <c r="AS45" s="12"/>
      <c r="AT45" s="12"/>
      <c r="AU45" s="30"/>
      <c r="AV45" s="97"/>
      <c r="AW45" s="136"/>
      <c r="AY45" s="28"/>
      <c r="BD45" s="292"/>
      <c r="BE45" s="300"/>
      <c r="BI45" s="28"/>
      <c r="BK45" s="319"/>
      <c r="BL45" s="564"/>
      <c r="BM45" s="12"/>
      <c r="BN45" s="287"/>
      <c r="BP45" s="52"/>
      <c r="BQ45" s="50"/>
      <c r="BR45" s="52"/>
      <c r="BS45" s="52"/>
      <c r="BT45" s="50"/>
      <c r="BU45" s="256"/>
      <c r="BV45" s="256"/>
      <c r="BW45" s="39"/>
      <c r="BY45" s="534"/>
      <c r="BZ45" s="39">
        <f t="shared" si="37"/>
        <v>0</v>
      </c>
      <c r="CA45" s="51" t="e">
        <f t="shared" si="38"/>
        <v>#DIV/0!</v>
      </c>
      <c r="CC45" s="39"/>
    </row>
    <row r="46" spans="1:82" s="13" customFormat="1" ht="18" customHeight="1">
      <c r="A46" s="73" t="s">
        <v>159</v>
      </c>
      <c r="B46" s="322"/>
      <c r="C46" s="322"/>
      <c r="D46" s="322"/>
      <c r="E46" s="351"/>
      <c r="F46" s="10"/>
      <c r="G46" s="10"/>
      <c r="H46" s="14"/>
      <c r="I46" s="10"/>
      <c r="J46" s="10"/>
      <c r="K46" s="14"/>
      <c r="L46" s="10"/>
      <c r="M46" s="10"/>
      <c r="N46" s="14"/>
      <c r="O46" s="10"/>
      <c r="P46" s="12"/>
      <c r="Q46" s="36"/>
      <c r="R46" s="52"/>
      <c r="S46" s="12"/>
      <c r="T46" s="36"/>
      <c r="U46" s="52"/>
      <c r="V46" s="12"/>
      <c r="W46" s="12"/>
      <c r="X46" s="52"/>
      <c r="Y46" s="12"/>
      <c r="Z46" s="12"/>
      <c r="AA46" s="52"/>
      <c r="AB46" s="12"/>
      <c r="AC46" s="12"/>
      <c r="AD46" s="52"/>
      <c r="AE46" s="178"/>
      <c r="AF46" s="12"/>
      <c r="AG46" s="12"/>
      <c r="AH46" s="12"/>
      <c r="AI46" s="12"/>
      <c r="AJ46" s="28"/>
      <c r="AK46" s="28"/>
      <c r="AL46" s="28"/>
      <c r="AM46" s="28"/>
      <c r="AN46" s="165"/>
      <c r="AO46" s="97"/>
      <c r="AP46" s="12"/>
      <c r="AQ46" s="12"/>
      <c r="AR46" s="12"/>
      <c r="AS46" s="12"/>
      <c r="AT46" s="12"/>
      <c r="AU46" s="30"/>
      <c r="AV46" s="97"/>
      <c r="AW46" s="136"/>
      <c r="BD46" s="292"/>
      <c r="BE46" s="300"/>
      <c r="BI46" s="28"/>
      <c r="BK46" s="319"/>
      <c r="BL46" s="564"/>
      <c r="BM46" s="12"/>
      <c r="BN46" s="287"/>
      <c r="BP46" s="52"/>
      <c r="BQ46" s="50"/>
      <c r="BR46" s="52"/>
      <c r="BS46" s="52"/>
      <c r="BT46" s="50"/>
      <c r="BU46" s="256"/>
      <c r="BV46" s="256"/>
      <c r="BW46" s="39"/>
      <c r="BY46" s="534"/>
      <c r="BZ46" s="39">
        <f t="shared" si="37"/>
        <v>0</v>
      </c>
      <c r="CA46" s="51" t="e">
        <f t="shared" si="38"/>
        <v>#DIV/0!</v>
      </c>
      <c r="CC46" s="39"/>
    </row>
    <row r="47" spans="1:82" s="13" customFormat="1" ht="18" customHeight="1">
      <c r="A47" s="73" t="s">
        <v>161</v>
      </c>
      <c r="B47" s="322"/>
      <c r="C47" s="322"/>
      <c r="D47" s="322"/>
      <c r="E47" s="351"/>
      <c r="F47" s="10"/>
      <c r="G47" s="10"/>
      <c r="H47" s="14"/>
      <c r="I47" s="10"/>
      <c r="J47" s="10"/>
      <c r="K47" s="14"/>
      <c r="L47" s="10"/>
      <c r="M47" s="10"/>
      <c r="N47" s="14"/>
      <c r="O47" s="10"/>
      <c r="P47" s="12"/>
      <c r="Q47" s="36"/>
      <c r="R47" s="52"/>
      <c r="S47" s="12"/>
      <c r="T47" s="36"/>
      <c r="U47" s="52"/>
      <c r="V47" s="12"/>
      <c r="W47" s="12"/>
      <c r="X47" s="52"/>
      <c r="Y47" s="12"/>
      <c r="Z47" s="12"/>
      <c r="AA47" s="52"/>
      <c r="AB47" s="12"/>
      <c r="AC47" s="12"/>
      <c r="AD47" s="52"/>
      <c r="AE47" s="178"/>
      <c r="AF47" s="12"/>
      <c r="AG47" s="12"/>
      <c r="AH47" s="12"/>
      <c r="AI47" s="12"/>
      <c r="AJ47" s="28"/>
      <c r="AK47" s="28"/>
      <c r="AL47" s="28"/>
      <c r="AM47" s="28"/>
      <c r="AN47" s="165"/>
      <c r="AO47" s="97"/>
      <c r="AP47" s="12"/>
      <c r="AQ47" s="12"/>
      <c r="AR47" s="12"/>
      <c r="AS47" s="12"/>
      <c r="AT47" s="12"/>
      <c r="AU47" s="30"/>
      <c r="AV47" s="97"/>
      <c r="AW47" s="136"/>
      <c r="BD47" s="292"/>
      <c r="BE47" s="300"/>
      <c r="BI47" s="28"/>
      <c r="BK47" s="319"/>
      <c r="BL47" s="564"/>
      <c r="BM47" s="12"/>
      <c r="BN47" s="287"/>
      <c r="BP47" s="52"/>
      <c r="BQ47" s="50"/>
      <c r="BR47" s="52"/>
      <c r="BS47" s="52"/>
      <c r="BT47" s="50"/>
      <c r="BU47" s="256"/>
      <c r="BV47" s="256"/>
      <c r="BW47" s="39"/>
      <c r="BY47" s="534"/>
      <c r="BZ47" s="39">
        <f t="shared" si="37"/>
        <v>0</v>
      </c>
      <c r="CA47" s="51" t="e">
        <f t="shared" si="38"/>
        <v>#DIV/0!</v>
      </c>
      <c r="CC47" s="39"/>
    </row>
    <row r="48" spans="1:82" ht="18" customHeight="1">
      <c r="A48" s="73" t="s">
        <v>163</v>
      </c>
      <c r="B48" s="322"/>
      <c r="C48" s="322"/>
      <c r="D48" s="322"/>
      <c r="E48" s="351"/>
      <c r="F48" s="10"/>
      <c r="G48" s="10"/>
      <c r="H48" s="14"/>
      <c r="I48" s="10"/>
      <c r="J48" s="10"/>
      <c r="K48" s="14"/>
      <c r="L48" s="10"/>
      <c r="M48" s="10"/>
      <c r="N48" s="14"/>
      <c r="O48" s="10"/>
      <c r="Q48" s="58"/>
      <c r="R48" s="52"/>
      <c r="S48" s="52"/>
      <c r="T48" s="58"/>
      <c r="U48" s="52"/>
      <c r="V48" s="52"/>
      <c r="W48" s="58"/>
      <c r="X48" s="52"/>
      <c r="AA48" s="52"/>
      <c r="AD48" s="52"/>
      <c r="AI48" s="157"/>
      <c r="AM48" s="84"/>
      <c r="AN48" s="172"/>
      <c r="BD48" s="289"/>
      <c r="BI48" s="65"/>
      <c r="BL48" s="564"/>
      <c r="BM48" s="12"/>
      <c r="BN48" s="51"/>
      <c r="BP48" s="52"/>
      <c r="BR48" s="52"/>
      <c r="BS48" s="52"/>
      <c r="BW48" s="39"/>
      <c r="BY48" s="534"/>
      <c r="BZ48" s="39">
        <f t="shared" si="37"/>
        <v>0</v>
      </c>
      <c r="CA48" s="51" t="e">
        <f t="shared" si="38"/>
        <v>#DIV/0!</v>
      </c>
      <c r="CC48" s="39"/>
    </row>
    <row r="49" spans="1:81" ht="18" customHeight="1">
      <c r="A49" s="73" t="s">
        <v>360</v>
      </c>
      <c r="B49" s="322"/>
      <c r="C49" s="322"/>
      <c r="D49" s="322"/>
      <c r="E49" s="351"/>
      <c r="F49" s="10"/>
      <c r="G49" s="10"/>
      <c r="H49" s="14"/>
      <c r="I49" s="10"/>
      <c r="J49" s="10"/>
      <c r="K49" s="14"/>
      <c r="L49" s="10"/>
      <c r="M49" s="10"/>
      <c r="N49" s="14"/>
      <c r="O49" s="10"/>
      <c r="Q49" s="58"/>
      <c r="R49" s="52"/>
      <c r="S49" s="52"/>
      <c r="T49" s="58"/>
      <c r="U49" s="52"/>
      <c r="V49" s="52"/>
      <c r="W49" s="58"/>
      <c r="X49" s="52"/>
      <c r="AA49" s="52"/>
      <c r="AD49" s="52"/>
      <c r="AI49" s="157"/>
      <c r="AM49" s="84"/>
      <c r="AN49" s="172"/>
      <c r="BD49" s="289"/>
      <c r="BI49" s="65"/>
      <c r="BL49" s="564"/>
      <c r="BM49" s="12"/>
      <c r="BN49" s="51"/>
      <c r="BP49" s="52"/>
      <c r="BR49" s="52"/>
      <c r="BS49" s="52"/>
      <c r="BW49" s="39"/>
      <c r="BY49" s="534"/>
      <c r="BZ49" s="39">
        <f t="shared" si="37"/>
        <v>0</v>
      </c>
      <c r="CA49" s="51" t="e">
        <f t="shared" si="38"/>
        <v>#DIV/0!</v>
      </c>
      <c r="CC49" s="39"/>
    </row>
    <row r="50" spans="1:81" s="118" customFormat="1" ht="18" customHeight="1">
      <c r="A50" s="116" t="s">
        <v>50</v>
      </c>
      <c r="B50" s="354"/>
      <c r="C50" s="354"/>
      <c r="D50" s="354"/>
      <c r="E50" s="357"/>
      <c r="F50" s="358"/>
      <c r="G50" s="358"/>
      <c r="H50" s="360"/>
      <c r="I50" s="358"/>
      <c r="J50" s="358"/>
      <c r="K50" s="360"/>
      <c r="L50" s="358"/>
      <c r="M50" s="358"/>
      <c r="N50" s="360"/>
      <c r="O50" s="358"/>
      <c r="P50" s="105"/>
      <c r="Q50" s="117"/>
      <c r="R50" s="107"/>
      <c r="T50" s="119"/>
      <c r="U50" s="107"/>
      <c r="W50" s="119"/>
      <c r="X50" s="107"/>
      <c r="AA50" s="107"/>
      <c r="AC50" s="120"/>
      <c r="AD50" s="107"/>
      <c r="AE50" s="179"/>
      <c r="AF50" s="162"/>
      <c r="AG50" s="162"/>
      <c r="AH50" s="162"/>
      <c r="AI50" s="162"/>
      <c r="AM50" s="123"/>
      <c r="AN50" s="170"/>
      <c r="AO50" s="124"/>
      <c r="AP50" s="154"/>
      <c r="AQ50" s="154"/>
      <c r="AR50" s="154"/>
      <c r="AS50" s="107"/>
      <c r="AT50" s="107"/>
      <c r="AU50" s="121"/>
      <c r="AV50" s="124"/>
      <c r="AW50" s="154"/>
      <c r="BD50" s="293"/>
      <c r="BE50" s="301"/>
      <c r="BI50" s="120"/>
      <c r="BK50" s="320"/>
      <c r="BL50" s="566"/>
      <c r="BM50" s="142"/>
      <c r="BN50" s="353"/>
      <c r="BP50" s="107"/>
      <c r="BQ50" s="109"/>
      <c r="BR50" s="107"/>
      <c r="BS50" s="107"/>
      <c r="BT50" s="109"/>
      <c r="BU50" s="154"/>
      <c r="BV50" s="154"/>
      <c r="BW50" s="554"/>
      <c r="BY50" s="680"/>
      <c r="BZ50" s="39">
        <f t="shared" si="37"/>
        <v>0</v>
      </c>
      <c r="CA50" s="51" t="e">
        <f t="shared" si="38"/>
        <v>#DIV/0!</v>
      </c>
      <c r="CC50" s="39"/>
    </row>
    <row r="51" spans="1:81" ht="18" customHeight="1">
      <c r="A51" s="59" t="s">
        <v>164</v>
      </c>
      <c r="B51" s="322">
        <f>'FY 2013 by Agency'!B51*Inflator!$E$2</f>
        <v>20520.776714513559</v>
      </c>
      <c r="C51" s="322">
        <f>'FY 2013 by Agency'!C51*Inflator!$E$3</f>
        <v>27646.170015455951</v>
      </c>
      <c r="D51" s="322">
        <f t="shared" si="6"/>
        <v>7125.3933009423927</v>
      </c>
      <c r="E51" s="351">
        <f t="shared" si="7"/>
        <v>0.34722824579553441</v>
      </c>
      <c r="F51" s="10">
        <f>'FY 2013 by Agency'!F51*Inflator!$E$4</f>
        <v>26052.195660449182</v>
      </c>
      <c r="G51" s="10">
        <f t="shared" si="8"/>
        <v>-1593.9743550067687</v>
      </c>
      <c r="H51" s="14">
        <f t="shared" si="9"/>
        <v>-5.7656245118786316E-2</v>
      </c>
      <c r="I51" s="10">
        <f>'FY 2013 by Agency'!I51*Inflator!$E$5</f>
        <v>27820.888062476763</v>
      </c>
      <c r="J51" s="10">
        <f t="shared" si="10"/>
        <v>1768.6924020275801</v>
      </c>
      <c r="K51" s="14">
        <f t="shared" si="11"/>
        <v>6.7890339266593894E-2</v>
      </c>
      <c r="L51" s="10">
        <f>'FY 2013 by Agency'!L51*Inflator!$E$6</f>
        <v>39150.493638676839</v>
      </c>
      <c r="M51" s="10">
        <f t="shared" si="12"/>
        <v>11329.605576200076</v>
      </c>
      <c r="N51" s="14">
        <f t="shared" si="13"/>
        <v>0.4072337860228411</v>
      </c>
      <c r="O51" s="10">
        <f>'FY 2013 by Agency'!O51*Inflator!$E$7</f>
        <v>36309.920450545578</v>
      </c>
      <c r="P51" s="52">
        <f>O51-L51</f>
        <v>-2840.5731881312604</v>
      </c>
      <c r="Q51" s="58">
        <f t="shared" ref="Q51:Q74" si="45">P51/L51</f>
        <v>-7.2555233002861888E-2</v>
      </c>
      <c r="R51" s="52">
        <f>'FY 2013 by Agency'!R51*Inflator!$E$8</f>
        <v>49929.60760353021</v>
      </c>
      <c r="S51" s="52">
        <f t="shared" ref="S51:S74" si="46">R51-O51</f>
        <v>13619.687152984632</v>
      </c>
      <c r="T51" s="58">
        <f t="shared" ref="T51:T74" si="47">S51/O51</f>
        <v>0.37509548310728918</v>
      </c>
      <c r="U51" s="52">
        <f>'FY 2013 by Agency'!U51*Inflator!$E$9</f>
        <v>51851.046419098137</v>
      </c>
      <c r="V51" s="52">
        <f>U51-R51</f>
        <v>1921.4388155679262</v>
      </c>
      <c r="W51" s="58">
        <f>V51/R51</f>
        <v>3.8482954459110819E-2</v>
      </c>
      <c r="X51" s="52">
        <f>'FY 2013 by Agency'!X51*Inflator!$E$10</f>
        <v>69031.519212448402</v>
      </c>
      <c r="Y51" s="39">
        <f t="shared" ref="Y51:Y71" si="48">X51-U51</f>
        <v>17180.472793350265</v>
      </c>
      <c r="Z51" s="58">
        <f t="shared" ref="Z51:Z58" si="49">Y51/U51</f>
        <v>0.33134283644895224</v>
      </c>
      <c r="AA51" s="52">
        <f>'FY 2013 by Agency'!AA51*Inflator!$E$11</f>
        <v>59456.881172347894</v>
      </c>
      <c r="AB51" s="39">
        <f t="shared" ref="AB51:AB71" si="50">AA51-X51</f>
        <v>-9574.6380401005081</v>
      </c>
      <c r="AC51" s="58">
        <f t="shared" ref="AC51:AC58" si="51">AB51/X51</f>
        <v>-0.13869951218419543</v>
      </c>
      <c r="AD51" s="52" t="e">
        <f>'FY 2013 by Agency'!AD51*Inflator!#REF!</f>
        <v>#REF!</v>
      </c>
      <c r="AE51" s="52">
        <f>'FY 2013 by Agency'!AE51*Inflator!$B$8</f>
        <v>0</v>
      </c>
      <c r="AF51" s="52">
        <f>'FY 2013 by Agency'!AF51*Inflator!$E$12</f>
        <v>29458.914160401007</v>
      </c>
      <c r="AG51" s="52">
        <f t="shared" ref="AG51:AG73" si="52">AF51-AA51</f>
        <v>-29997.967011946886</v>
      </c>
      <c r="AH51" s="58">
        <f t="shared" ref="AH51:AH73" si="53">AG51/AA51</f>
        <v>-0.50453314099997382</v>
      </c>
      <c r="AI51" s="52">
        <f>'FY 2013 by Agency'!AI51*Inflator!$B$8</f>
        <v>0</v>
      </c>
      <c r="AJ51" s="52">
        <f>'FY 2013 by Agency'!AJ51*Inflator!$B$8</f>
        <v>0</v>
      </c>
      <c r="AK51" s="52">
        <f>'FY 2013 by Agency'!AK51</f>
        <v>3040</v>
      </c>
      <c r="AL51" s="52">
        <f>'FY 2013 by Agency'!AL51</f>
        <v>680</v>
      </c>
      <c r="AM51" s="52">
        <f>'FY 2013 by Agency'!AM51</f>
        <v>3720</v>
      </c>
      <c r="AN51" s="52">
        <f>'FY 2013 by Agency'!AN51</f>
        <v>2403</v>
      </c>
      <c r="AO51" s="52">
        <f>'FY 2013 by Agency'!AO51</f>
        <v>17074</v>
      </c>
      <c r="AP51" s="52">
        <f>'FY 2013 by Agency'!AP51</f>
        <v>611</v>
      </c>
      <c r="AQ51" s="52">
        <f>'FY 2013 by Agency'!AQ51</f>
        <v>601</v>
      </c>
      <c r="AR51" s="52">
        <f>'FY 2013 by Agency'!AR51</f>
        <v>1212</v>
      </c>
      <c r="AS51" s="52">
        <f>'FY 2013 by Agency'!AS51</f>
        <v>16868.30013</v>
      </c>
      <c r="AT51" s="52" t="e">
        <f t="shared" ref="AT51:AT74" si="54">AR51-AD51</f>
        <v>#REF!</v>
      </c>
      <c r="AU51" s="58" t="e">
        <f t="shared" ref="AU51:AU74" si="55">AT51/AD51</f>
        <v>#REF!</v>
      </c>
      <c r="AV51" s="52">
        <f t="shared" ref="AV51:AV74" si="56">AS51-AF51</f>
        <v>-12590.614030401008</v>
      </c>
      <c r="AW51" s="58">
        <f t="shared" ref="AW51:AW74" si="57">AV51/AF51</f>
        <v>-0.42739572687052557</v>
      </c>
      <c r="AX51" s="39">
        <f>2295+6793+7878</f>
        <v>16966</v>
      </c>
      <c r="AY51" s="39">
        <f>2295+6793+7878</f>
        <v>16966</v>
      </c>
      <c r="AZ51" s="39">
        <f t="shared" ref="AZ51:AZ73" si="58">+AY51-AO51</f>
        <v>-108</v>
      </c>
      <c r="BA51" s="39">
        <f t="shared" ref="BA51:BA73" si="59">+AZ51+AV51</f>
        <v>-12698.614030401008</v>
      </c>
      <c r="BB51" s="39">
        <f t="shared" ref="BB51:BB73" si="60">+AZ51+AS51</f>
        <v>16760.30013</v>
      </c>
      <c r="BC51" s="58">
        <f t="shared" ref="BC51:BC74" si="61">+BB51/AF51-1</f>
        <v>-0.43106184977688766</v>
      </c>
      <c r="BD51" s="291">
        <v>82.584999999999994</v>
      </c>
      <c r="BE51" s="51">
        <f t="shared" ref="BE51:BE64" si="62">BD51/AY51</f>
        <v>4.8676765295296472E-3</v>
      </c>
      <c r="BG51" s="50">
        <v>1126</v>
      </c>
      <c r="BH51" s="50">
        <v>199</v>
      </c>
      <c r="BI51" s="219">
        <v>15457</v>
      </c>
      <c r="BJ51" s="39">
        <f>BI51-AY51</f>
        <v>-1509</v>
      </c>
      <c r="BK51" s="65">
        <f>BI51+AP51+AQ51</f>
        <v>16669</v>
      </c>
      <c r="BL51" s="567">
        <f>'FY 2013 by Agency'!AS51*Inflator!$E$13</f>
        <v>17491.145511669212</v>
      </c>
      <c r="BM51" s="256">
        <f>BL51-AF51</f>
        <v>-11967.768648731795</v>
      </c>
      <c r="BN51" s="51">
        <f>BM51/AF51</f>
        <v>-0.40625287760330964</v>
      </c>
      <c r="BO51" s="52">
        <f>'FY 2013 by Agency'!AX51*Inflator!$E$13</f>
        <v>16027.734513274339</v>
      </c>
      <c r="BP51" s="52">
        <f t="shared" si="32"/>
        <v>-13431.179647126668</v>
      </c>
      <c r="BQ51" s="51">
        <f t="shared" si="33"/>
        <v>-0.45592921633143579</v>
      </c>
      <c r="BR51" s="52">
        <f>'FY 2013 by Agency'!BE51*Inflator!$E$14</f>
        <v>13411.3956404897</v>
      </c>
      <c r="BS51" s="52">
        <f t="shared" si="34"/>
        <v>-2616.3388727846395</v>
      </c>
      <c r="BT51" s="51">
        <f t="shared" si="35"/>
        <v>-0.16323822126063792</v>
      </c>
      <c r="BU51" s="52">
        <f>'FY 2013 by Agency'!BL51*Inflator!$E$14</f>
        <v>13763.472678411466</v>
      </c>
      <c r="BV51" s="52">
        <f>BU51-BL51</f>
        <v>-3727.6728332577459</v>
      </c>
      <c r="BW51" s="487">
        <v>19527</v>
      </c>
      <c r="BX51" s="39">
        <f>'FY 2013 by Agency'!BW51*Inflator!E15</f>
        <v>23635</v>
      </c>
      <c r="BY51" s="595">
        <v>29184</v>
      </c>
      <c r="BZ51" s="39">
        <f t="shared" si="37"/>
        <v>6115.6043595103001</v>
      </c>
      <c r="CA51" s="51">
        <f t="shared" si="38"/>
        <v>0.4560005925891093</v>
      </c>
      <c r="CC51" s="39"/>
    </row>
    <row r="52" spans="1:81" ht="18" customHeight="1">
      <c r="A52" s="59" t="s">
        <v>63</v>
      </c>
      <c r="B52" s="322">
        <f>'FY 2013 by Agency'!B52*Inflator!$E$2</f>
        <v>0</v>
      </c>
      <c r="C52" s="322">
        <f>'FY 2013 by Agency'!C52*Inflator!$E$3</f>
        <v>0</v>
      </c>
      <c r="D52" s="322">
        <f t="shared" si="6"/>
        <v>0</v>
      </c>
      <c r="E52" s="324" t="s">
        <v>78</v>
      </c>
      <c r="F52" s="10">
        <f>'FY 2013 by Agency'!F52*Inflator!$E$4</f>
        <v>7045.6437000380665</v>
      </c>
      <c r="G52" s="10">
        <f t="shared" si="8"/>
        <v>7045.6437000380665</v>
      </c>
      <c r="H52" s="324" t="s">
        <v>78</v>
      </c>
      <c r="I52" s="10">
        <f>'FY 2013 by Agency'!I52*Inflator!$E$5</f>
        <v>7728.586091483824</v>
      </c>
      <c r="J52" s="10">
        <f t="shared" si="10"/>
        <v>682.94239144575749</v>
      </c>
      <c r="K52" s="324" t="s">
        <v>78</v>
      </c>
      <c r="L52" s="10">
        <f>'FY 2013 by Agency'!L52*Inflator!$E$6</f>
        <v>7542.0530716103231</v>
      </c>
      <c r="M52" s="10">
        <f t="shared" si="12"/>
        <v>-186.53301987350096</v>
      </c>
      <c r="N52" s="14">
        <f t="shared" si="13"/>
        <v>-2.4135465098725217E-2</v>
      </c>
      <c r="O52" s="10">
        <f>'FY 2013 by Agency'!O52*Inflator!$E$7</f>
        <v>7111.7592397043281</v>
      </c>
      <c r="P52" s="52">
        <f t="shared" ref="P52:P74" si="63">O52-L52</f>
        <v>-430.29383190599492</v>
      </c>
      <c r="Q52" s="58">
        <f t="shared" si="45"/>
        <v>-5.7052612573849443E-2</v>
      </c>
      <c r="R52" s="52">
        <f>'FY 2013 by Agency'!R52*Inflator!$E$8</f>
        <v>6825.9891378139846</v>
      </c>
      <c r="S52" s="52">
        <f t="shared" si="46"/>
        <v>-285.77010189034354</v>
      </c>
      <c r="T52" s="58">
        <f t="shared" si="47"/>
        <v>-4.0182758197847043E-2</v>
      </c>
      <c r="U52" s="52">
        <f>'FY 2013 by Agency'!U52*Inflator!$E$9</f>
        <v>7394.2553050397873</v>
      </c>
      <c r="V52" s="52">
        <f t="shared" ref="V52:V71" si="64">U52-R52</f>
        <v>568.26616722580275</v>
      </c>
      <c r="W52" s="58">
        <f t="shared" ref="W52:W70" si="65">V52/R52</f>
        <v>8.32503767223675E-2</v>
      </c>
      <c r="X52" s="52">
        <f>'FY 2013 by Agency'!X52*Inflator!$E$10</f>
        <v>8677.9028262940628</v>
      </c>
      <c r="Y52" s="39">
        <f t="shared" si="48"/>
        <v>1283.6475212542755</v>
      </c>
      <c r="Z52" s="58">
        <f t="shared" si="49"/>
        <v>0.17360064919307899</v>
      </c>
      <c r="AA52" s="52">
        <f>'FY 2013 by Agency'!AA52*Inflator!$E$11</f>
        <v>10200.495062121696</v>
      </c>
      <c r="AB52" s="39">
        <f t="shared" si="50"/>
        <v>1522.592235827633</v>
      </c>
      <c r="AC52" s="58">
        <f t="shared" si="51"/>
        <v>0.17545624401487597</v>
      </c>
      <c r="AD52" s="52" t="e">
        <f>'FY 2013 by Agency'!AD52*Inflator!#REF!</f>
        <v>#REF!</v>
      </c>
      <c r="AE52" s="52">
        <f>'FY 2013 by Agency'!AE52*Inflator!$B$8</f>
        <v>0</v>
      </c>
      <c r="AF52" s="52">
        <f>'FY 2013 by Agency'!AF52*Inflator!$E$12</f>
        <v>7716.8239348370935</v>
      </c>
      <c r="AG52" s="52">
        <f t="shared" si="52"/>
        <v>-2483.6711272846023</v>
      </c>
      <c r="AH52" s="58">
        <f t="shared" si="53"/>
        <v>-0.24348535165782439</v>
      </c>
      <c r="AI52" s="52">
        <f>'FY 2013 by Agency'!AI52*Inflator!$B$8</f>
        <v>0</v>
      </c>
      <c r="AJ52" s="52">
        <f>'FY 2013 by Agency'!AJ52*Inflator!$B$8</f>
        <v>0</v>
      </c>
      <c r="AK52" s="52">
        <f>'FY 2013 by Agency'!AK52</f>
        <v>8369</v>
      </c>
      <c r="AL52" s="52">
        <f>'FY 2013 by Agency'!AL52</f>
        <v>0</v>
      </c>
      <c r="AM52" s="52">
        <f>'FY 2013 by Agency'!AM52</f>
        <v>8369</v>
      </c>
      <c r="AN52" s="52">
        <f>'FY 2013 by Agency'!AN52</f>
        <v>6112</v>
      </c>
      <c r="AO52" s="52">
        <f>'FY 2013 by Agency'!AO52</f>
        <v>6130</v>
      </c>
      <c r="AP52" s="52">
        <f>'FY 2013 by Agency'!AP52</f>
        <v>977</v>
      </c>
      <c r="AQ52" s="52">
        <f>'FY 2013 by Agency'!AQ52</f>
        <v>95</v>
      </c>
      <c r="AR52" s="52">
        <f>'FY 2013 by Agency'!AR52</f>
        <v>1072</v>
      </c>
      <c r="AS52" s="52">
        <f>'FY 2013 by Agency'!AS52</f>
        <v>6571.4900099999995</v>
      </c>
      <c r="AT52" s="52" t="e">
        <f t="shared" si="54"/>
        <v>#REF!</v>
      </c>
      <c r="AU52" s="58" t="e">
        <f t="shared" si="55"/>
        <v>#REF!</v>
      </c>
      <c r="AV52" s="52">
        <f t="shared" si="56"/>
        <v>-1145.3339248370939</v>
      </c>
      <c r="AW52" s="58">
        <f t="shared" si="57"/>
        <v>-0.14842037793120552</v>
      </c>
      <c r="AX52" s="39">
        <f>6112+18</f>
        <v>6130</v>
      </c>
      <c r="AY52" s="39">
        <f>6112+18</f>
        <v>6130</v>
      </c>
      <c r="AZ52" s="39">
        <f t="shared" si="58"/>
        <v>0</v>
      </c>
      <c r="BA52" s="39">
        <f t="shared" si="59"/>
        <v>-1145.3339248370939</v>
      </c>
      <c r="BB52" s="39">
        <f t="shared" si="60"/>
        <v>6571.4900099999995</v>
      </c>
      <c r="BC52" s="58">
        <f t="shared" si="61"/>
        <v>-0.14842037793120555</v>
      </c>
      <c r="BD52" s="291">
        <v>73.468999999999994</v>
      </c>
      <c r="BE52" s="51">
        <f t="shared" si="62"/>
        <v>1.1985154975530179E-2</v>
      </c>
      <c r="BF52" s="50">
        <v>75</v>
      </c>
      <c r="BI52" s="65">
        <v>5974</v>
      </c>
      <c r="BJ52" s="39">
        <f t="shared" ref="BJ52:BJ74" si="66">BI52-AY52</f>
        <v>-156</v>
      </c>
      <c r="BK52" s="65">
        <f t="shared" ref="BK52:BK73" si="67">BI52+AP52+AQ52</f>
        <v>7046</v>
      </c>
      <c r="BL52" s="567">
        <f>'FY 2013 by Agency'!AS52*Inflator!$E$13</f>
        <v>6814.1358114067752</v>
      </c>
      <c r="BM52" s="256">
        <f t="shared" ref="BM52:BM74" si="68">BL52-AF52</f>
        <v>-902.68812343031823</v>
      </c>
      <c r="BN52" s="51">
        <f t="shared" ref="BN52:BN74" si="69">BM52/AF52</f>
        <v>-0.11697663845292519</v>
      </c>
      <c r="BO52" s="52">
        <f>'FY 2013 by Agency'!AX52*Inflator!$E$13</f>
        <v>6194.5840707964617</v>
      </c>
      <c r="BP52" s="52">
        <f t="shared" si="32"/>
        <v>-1522.2398640406318</v>
      </c>
      <c r="BQ52" s="51">
        <f t="shared" si="33"/>
        <v>-0.19726248478581715</v>
      </c>
      <c r="BR52" s="52">
        <f>'FY 2013 by Agency'!BE52*Inflator!$E$14</f>
        <v>6367.8256195879376</v>
      </c>
      <c r="BS52" s="52">
        <f t="shared" si="34"/>
        <v>173.24154879147591</v>
      </c>
      <c r="BT52" s="51">
        <f t="shared" si="35"/>
        <v>2.7966615161169581E-2</v>
      </c>
      <c r="BU52" s="52">
        <f>'FY 2013 by Agency'!BL52*Inflator!$E$14</f>
        <v>7655.3926545237391</v>
      </c>
      <c r="BV52" s="52">
        <f t="shared" ref="BV52:BV74" si="70">BU52-BL52</f>
        <v>841.25684311696386</v>
      </c>
      <c r="BW52" s="487">
        <v>6389</v>
      </c>
      <c r="BX52" s="39">
        <f>'FY 2013 by Agency'!BW52*Inflator!E15</f>
        <v>7728</v>
      </c>
      <c r="BY52" s="595">
        <v>6589</v>
      </c>
      <c r="BZ52" s="39">
        <f t="shared" si="37"/>
        <v>21.174380412062419</v>
      </c>
      <c r="CA52" s="51">
        <f t="shared" si="38"/>
        <v>3.3252136093250327E-3</v>
      </c>
      <c r="CC52" s="39"/>
    </row>
    <row r="53" spans="1:81" ht="18" customHeight="1">
      <c r="A53" s="59" t="s">
        <v>102</v>
      </c>
      <c r="B53" s="322">
        <f>'FY 2013 by Agency'!B53*Inflator!$E$2</f>
        <v>0</v>
      </c>
      <c r="C53" s="322">
        <f>'FY 2013 by Agency'!C53*Inflator!$E$3</f>
        <v>0</v>
      </c>
      <c r="D53" s="322">
        <f t="shared" si="6"/>
        <v>0</v>
      </c>
      <c r="E53" s="324" t="s">
        <v>78</v>
      </c>
      <c r="F53" s="10">
        <f>'FY 2013 by Agency'!F53*Inflator!$E$4</f>
        <v>1572.8846593071946</v>
      </c>
      <c r="G53" s="10">
        <f t="shared" si="8"/>
        <v>1572.8846593071946</v>
      </c>
      <c r="H53" s="324" t="s">
        <v>78</v>
      </c>
      <c r="I53" s="10">
        <f>'FY 2013 by Agency'!I53*Inflator!$E$5</f>
        <v>1211.8564522127188</v>
      </c>
      <c r="J53" s="10">
        <f t="shared" si="10"/>
        <v>-361.02820709447587</v>
      </c>
      <c r="K53" s="324" t="s">
        <v>78</v>
      </c>
      <c r="L53" s="10">
        <f>'FY 2013 by Agency'!L53*Inflator!$E$6</f>
        <v>1237.6575790621591</v>
      </c>
      <c r="M53" s="10">
        <f t="shared" si="12"/>
        <v>25.801126849440379</v>
      </c>
      <c r="N53" s="14">
        <f t="shared" si="13"/>
        <v>2.1290580086717626E-2</v>
      </c>
      <c r="O53" s="10">
        <f>'FY 2013 by Agency'!O53*Inflator!$E$7</f>
        <v>1174.5286870820132</v>
      </c>
      <c r="P53" s="52">
        <f t="shared" si="63"/>
        <v>-63.128891980145909</v>
      </c>
      <c r="Q53" s="58">
        <f t="shared" si="45"/>
        <v>-5.1006751017500435E-2</v>
      </c>
      <c r="R53" s="52">
        <f>'FY 2013 by Agency'!R53*Inflator!$E$8</f>
        <v>1958.5213849287168</v>
      </c>
      <c r="S53" s="52">
        <f t="shared" si="46"/>
        <v>783.99269784670355</v>
      </c>
      <c r="T53" s="58">
        <f t="shared" si="47"/>
        <v>0.66749557202765886</v>
      </c>
      <c r="U53" s="52">
        <f>'FY 2013 by Agency'!U53*Inflator!$E$9</f>
        <v>2307.3952254641908</v>
      </c>
      <c r="V53" s="52">
        <f t="shared" si="64"/>
        <v>348.87384053547407</v>
      </c>
      <c r="W53" s="58">
        <f t="shared" si="65"/>
        <v>0.17813123881114623</v>
      </c>
      <c r="X53" s="52">
        <f>'FY 2013 by Agency'!X53*Inflator!$E$10</f>
        <v>4848.273737694507</v>
      </c>
      <c r="Y53" s="39">
        <f t="shared" si="48"/>
        <v>2540.8785122303161</v>
      </c>
      <c r="Z53" s="58">
        <f t="shared" si="49"/>
        <v>1.101189117577009</v>
      </c>
      <c r="AA53" s="52">
        <f>'FY 2013 by Agency'!AA53*Inflator!$E$11</f>
        <v>3491.0958904109593</v>
      </c>
      <c r="AB53" s="39">
        <f t="shared" si="50"/>
        <v>-1357.1778472835476</v>
      </c>
      <c r="AC53" s="58">
        <f t="shared" si="51"/>
        <v>-0.27993011960766978</v>
      </c>
      <c r="AD53" s="52" t="e">
        <f>'FY 2013 by Agency'!AD53*Inflator!#REF!</f>
        <v>#REF!</v>
      </c>
      <c r="AE53" s="52">
        <f>'FY 2013 by Agency'!AE53*Inflator!$B$8</f>
        <v>0</v>
      </c>
      <c r="AF53" s="52">
        <f>'FY 2013 by Agency'!AF53*Inflator!$E$12</f>
        <v>2489.9505012531331</v>
      </c>
      <c r="AG53" s="52">
        <f t="shared" si="52"/>
        <v>-1001.1453891578262</v>
      </c>
      <c r="AH53" s="58">
        <f t="shared" si="53"/>
        <v>-0.28677109440267334</v>
      </c>
      <c r="AI53" s="52">
        <f>'FY 2013 by Agency'!AI53*Inflator!$B$8</f>
        <v>0</v>
      </c>
      <c r="AJ53" s="52">
        <f>'FY 2013 by Agency'!AJ53*Inflator!$B$8</f>
        <v>0</v>
      </c>
      <c r="AK53" s="52">
        <f>'FY 2013 by Agency'!AK53</f>
        <v>2453</v>
      </c>
      <c r="AL53" s="52">
        <f>'FY 2013 by Agency'!AL53</f>
        <v>0</v>
      </c>
      <c r="AM53" s="52">
        <f>'FY 2013 by Agency'!AM53</f>
        <v>2453</v>
      </c>
      <c r="AN53" s="52">
        <f>'FY 2013 by Agency'!AN53</f>
        <v>2114</v>
      </c>
      <c r="AO53" s="52">
        <f>'FY 2013 by Agency'!AO53</f>
        <v>2114</v>
      </c>
      <c r="AP53" s="52">
        <f>'FY 2013 by Agency'!AP53</f>
        <v>88</v>
      </c>
      <c r="AQ53" s="52">
        <f>'FY 2013 by Agency'!AQ53</f>
        <v>28</v>
      </c>
      <c r="AR53" s="52">
        <f>'FY 2013 by Agency'!AR53</f>
        <v>116</v>
      </c>
      <c r="AS53" s="52">
        <f>'FY 2013 by Agency'!AS53</f>
        <v>7651.7482600000003</v>
      </c>
      <c r="AT53" s="52" t="e">
        <f t="shared" si="54"/>
        <v>#REF!</v>
      </c>
      <c r="AU53" s="58" t="e">
        <f t="shared" si="55"/>
        <v>#REF!</v>
      </c>
      <c r="AV53" s="52">
        <f t="shared" si="56"/>
        <v>5161.7977587468667</v>
      </c>
      <c r="AW53" s="58">
        <f t="shared" si="57"/>
        <v>2.0730523583296359</v>
      </c>
      <c r="AX53" s="39">
        <v>4599</v>
      </c>
      <c r="AY53" s="39">
        <v>4599</v>
      </c>
      <c r="AZ53" s="39">
        <f t="shared" si="58"/>
        <v>2485</v>
      </c>
      <c r="BA53" s="39">
        <f t="shared" si="59"/>
        <v>7646.7977587468667</v>
      </c>
      <c r="BB53" s="39">
        <f t="shared" si="60"/>
        <v>10136.74826</v>
      </c>
      <c r="BC53" s="58">
        <f t="shared" si="61"/>
        <v>3.0710641656926176</v>
      </c>
      <c r="BD53" s="291">
        <v>273.30599999999998</v>
      </c>
      <c r="BE53" s="51">
        <f t="shared" si="62"/>
        <v>5.9427266797129806E-2</v>
      </c>
      <c r="BF53" s="50">
        <v>1810</v>
      </c>
      <c r="BI53" s="65">
        <v>4653</v>
      </c>
      <c r="BJ53" s="39">
        <f t="shared" si="66"/>
        <v>54</v>
      </c>
      <c r="BK53" s="65">
        <f t="shared" si="67"/>
        <v>4769</v>
      </c>
      <c r="BL53" s="567">
        <f>'FY 2013 by Agency'!AS53*Inflator!$E$13</f>
        <v>7934.2815341715004</v>
      </c>
      <c r="BM53" s="256">
        <f t="shared" si="68"/>
        <v>5444.3310329183678</v>
      </c>
      <c r="BN53" s="51">
        <f t="shared" si="69"/>
        <v>2.1865217923723241</v>
      </c>
      <c r="BO53" s="52">
        <f>'FY 2013 by Agency'!AX53*Inflator!$E$13</f>
        <v>7959.4287458040908</v>
      </c>
      <c r="BP53" s="52">
        <f t="shared" si="32"/>
        <v>5469.4782445509572</v>
      </c>
      <c r="BQ53" s="51">
        <f t="shared" si="33"/>
        <v>2.1966212749202438</v>
      </c>
      <c r="BR53" s="52">
        <f>'FY 2013 by Agency'!BE53*Inflator!$E$14</f>
        <v>4922.9907435055247</v>
      </c>
      <c r="BS53" s="52">
        <f t="shared" si="34"/>
        <v>-3036.4380022985661</v>
      </c>
      <c r="BT53" s="51">
        <f t="shared" si="35"/>
        <v>-0.38148943840966743</v>
      </c>
      <c r="BU53" s="52">
        <f>'FY 2013 by Agency'!BL53*Inflator!$E$14</f>
        <v>5033.5855479247539</v>
      </c>
      <c r="BV53" s="52">
        <f t="shared" si="70"/>
        <v>-2900.6959862467465</v>
      </c>
      <c r="BW53" s="487">
        <v>5276</v>
      </c>
      <c r="BX53" s="39">
        <f>'FY 2013 by Agency'!BW53*Inflator!E15</f>
        <v>5363</v>
      </c>
      <c r="BY53" s="595">
        <v>5276</v>
      </c>
      <c r="BZ53" s="39">
        <f t="shared" si="37"/>
        <v>353.00925649447527</v>
      </c>
      <c r="CA53" s="51">
        <f t="shared" si="38"/>
        <v>7.1706260459695109E-2</v>
      </c>
      <c r="CC53" s="39"/>
    </row>
    <row r="54" spans="1:81" ht="18" customHeight="1">
      <c r="A54" s="59" t="s">
        <v>103</v>
      </c>
      <c r="B54" s="322">
        <f>'FY 2013 by Agency'!B54*Inflator!$E$2</f>
        <v>0</v>
      </c>
      <c r="C54" s="322">
        <f>'FY 2013 by Agency'!C54*Inflator!$E$3</f>
        <v>0</v>
      </c>
      <c r="D54" s="322">
        <f t="shared" si="6"/>
        <v>0</v>
      </c>
      <c r="E54" s="324" t="s">
        <v>78</v>
      </c>
      <c r="F54" s="10">
        <f>'FY 2013 by Agency'!F54*Inflator!$E$4</f>
        <v>552.32051770079943</v>
      </c>
      <c r="G54" s="10">
        <f t="shared" si="8"/>
        <v>552.32051770079943</v>
      </c>
      <c r="H54" s="324" t="s">
        <v>78</v>
      </c>
      <c r="I54" s="10">
        <f>'FY 2013 by Agency'!I54*Inflator!$E$5</f>
        <v>559.80438824841963</v>
      </c>
      <c r="J54" s="10">
        <f t="shared" si="10"/>
        <v>7.4838705476201994</v>
      </c>
      <c r="K54" s="324" t="s">
        <v>78</v>
      </c>
      <c r="L54" s="10">
        <f>'FY 2013 by Agency'!L54*Inflator!$E$6</f>
        <v>636.12141039621952</v>
      </c>
      <c r="M54" s="10">
        <f t="shared" si="12"/>
        <v>76.317022147799889</v>
      </c>
      <c r="N54" s="14">
        <f t="shared" si="13"/>
        <v>0.13632801698212721</v>
      </c>
      <c r="O54" s="10">
        <f>'FY 2013 by Agency'!O54*Inflator!$E$7</f>
        <v>617.16578669482567</v>
      </c>
      <c r="P54" s="52">
        <f t="shared" si="63"/>
        <v>-18.955623701393847</v>
      </c>
      <c r="Q54" s="58">
        <f t="shared" si="45"/>
        <v>-2.9798751294327602E-2</v>
      </c>
      <c r="R54" s="52">
        <f>'FY 2013 by Agency'!R54*Inflator!$E$8</f>
        <v>618.23761031907668</v>
      </c>
      <c r="S54" s="52">
        <f t="shared" si="46"/>
        <v>1.0718236242510102</v>
      </c>
      <c r="T54" s="58">
        <f t="shared" si="47"/>
        <v>1.7366867175043234E-3</v>
      </c>
      <c r="U54" s="52">
        <f>'FY 2013 by Agency'!U54*Inflator!$E$9</f>
        <v>611.77519893899205</v>
      </c>
      <c r="V54" s="52">
        <f t="shared" si="64"/>
        <v>-6.4624113800846317</v>
      </c>
      <c r="W54" s="58">
        <f t="shared" si="65"/>
        <v>-1.0452957361732388E-2</v>
      </c>
      <c r="X54" s="52">
        <f>'FY 2013 by Agency'!X54*Inflator!$E$10</f>
        <v>907.50015878056536</v>
      </c>
      <c r="Y54" s="39">
        <f t="shared" si="48"/>
        <v>295.72495984157331</v>
      </c>
      <c r="Z54" s="58">
        <f t="shared" si="49"/>
        <v>0.48338827784201144</v>
      </c>
      <c r="AA54" s="52">
        <f>'FY 2013 by Agency'!AA54*Inflator!$E$11</f>
        <v>705.79675055750249</v>
      </c>
      <c r="AB54" s="39">
        <f t="shared" si="50"/>
        <v>-201.70340822306287</v>
      </c>
      <c r="AC54" s="58">
        <f t="shared" si="51"/>
        <v>-0.22226266989759833</v>
      </c>
      <c r="AD54" s="52" t="e">
        <f>'FY 2013 by Agency'!AD54*Inflator!#REF!</f>
        <v>#REF!</v>
      </c>
      <c r="AE54" s="52">
        <f>'FY 2013 by Agency'!AE54*Inflator!$B$8</f>
        <v>0</v>
      </c>
      <c r="AF54" s="52">
        <f>'FY 2013 by Agency'!AF54*Inflator!$E$12</f>
        <v>571.6560150375941</v>
      </c>
      <c r="AG54" s="52">
        <f t="shared" si="52"/>
        <v>-134.14073551990839</v>
      </c>
      <c r="AH54" s="58">
        <f t="shared" si="53"/>
        <v>-0.19005575672309605</v>
      </c>
      <c r="AI54" s="52">
        <f>'FY 2013 by Agency'!AI54*Inflator!$B$8</f>
        <v>0</v>
      </c>
      <c r="AJ54" s="52">
        <f>'FY 2013 by Agency'!AJ54*Inflator!$B$8</f>
        <v>0</v>
      </c>
      <c r="AK54" s="52">
        <f>'FY 2013 by Agency'!AK54</f>
        <v>595</v>
      </c>
      <c r="AL54" s="52">
        <f>'FY 2013 by Agency'!AL54</f>
        <v>0</v>
      </c>
      <c r="AM54" s="52">
        <f>'FY 2013 by Agency'!AM54</f>
        <v>595</v>
      </c>
      <c r="AN54" s="52">
        <f>'FY 2013 by Agency'!AN54</f>
        <v>555</v>
      </c>
      <c r="AO54" s="52">
        <f>'FY 2013 by Agency'!AO54</f>
        <v>602</v>
      </c>
      <c r="AP54" s="52">
        <f>'FY 2013 by Agency'!AP54</f>
        <v>0</v>
      </c>
      <c r="AQ54" s="52">
        <f>'FY 2013 by Agency'!AQ54</f>
        <v>2</v>
      </c>
      <c r="AR54" s="52">
        <f>'FY 2013 by Agency'!AR54</f>
        <v>2</v>
      </c>
      <c r="AS54" s="52">
        <f>'FY 2013 by Agency'!AS54</f>
        <v>646.78075000000001</v>
      </c>
      <c r="AT54" s="52" t="e">
        <f t="shared" si="54"/>
        <v>#REF!</v>
      </c>
      <c r="AU54" s="58" t="e">
        <f t="shared" si="55"/>
        <v>#REF!</v>
      </c>
      <c r="AV54" s="52">
        <f t="shared" si="56"/>
        <v>75.12473496240591</v>
      </c>
      <c r="AW54" s="58">
        <f t="shared" si="57"/>
        <v>0.13141597916618694</v>
      </c>
      <c r="AX54" s="39">
        <f>555+46</f>
        <v>601</v>
      </c>
      <c r="AY54" s="39">
        <f>555+46</f>
        <v>601</v>
      </c>
      <c r="AZ54" s="39">
        <f t="shared" si="58"/>
        <v>-1</v>
      </c>
      <c r="BA54" s="39">
        <f t="shared" si="59"/>
        <v>74.12473496240591</v>
      </c>
      <c r="BB54" s="39">
        <f t="shared" si="60"/>
        <v>645.78075000000001</v>
      </c>
      <c r="BC54" s="58">
        <f t="shared" si="61"/>
        <v>0.12966667543510613</v>
      </c>
      <c r="BD54" s="291">
        <v>12.016999999999999</v>
      </c>
      <c r="BE54" s="51">
        <f t="shared" si="62"/>
        <v>1.9995008319467555E-2</v>
      </c>
      <c r="BI54" s="219">
        <v>593</v>
      </c>
      <c r="BJ54" s="39">
        <f t="shared" si="66"/>
        <v>-8</v>
      </c>
      <c r="BK54" s="65">
        <f t="shared" si="67"/>
        <v>595</v>
      </c>
      <c r="BL54" s="568">
        <f>'FY 2013 by Agency'!AS54*Inflator!$E$13</f>
        <v>670.66249267622834</v>
      </c>
      <c r="BM54" s="256">
        <f t="shared" si="68"/>
        <v>99.006477638634237</v>
      </c>
      <c r="BN54" s="51">
        <f t="shared" si="69"/>
        <v>0.17319240073442282</v>
      </c>
      <c r="BO54" s="52">
        <f>'FY 2013 by Agency'!AX54*Inflator!$E$13</f>
        <v>618.00671345743069</v>
      </c>
      <c r="BP54" s="52">
        <f t="shared" si="32"/>
        <v>46.35069841983659</v>
      </c>
      <c r="BQ54" s="51">
        <f t="shared" si="33"/>
        <v>8.1081449684017412E-2</v>
      </c>
      <c r="BR54" s="52">
        <f>'FY 2013 by Agency'!BE54*Inflator!$E$14</f>
        <v>736.62227530606151</v>
      </c>
      <c r="BS54" s="52">
        <f t="shared" si="34"/>
        <v>118.61556184863082</v>
      </c>
      <c r="BT54" s="51">
        <f t="shared" si="35"/>
        <v>0.19193248109723204</v>
      </c>
      <c r="BU54" s="52">
        <f>'FY 2013 by Agency'!BL54*Inflator!$E$14</f>
        <v>760.97342490295614</v>
      </c>
      <c r="BV54" s="52">
        <f t="shared" si="70"/>
        <v>90.3109322267278</v>
      </c>
      <c r="BW54" s="487">
        <v>869</v>
      </c>
      <c r="BX54" s="39">
        <f>'FY 2013 by Agency'!BW54*Inflator!E15</f>
        <v>1016</v>
      </c>
      <c r="BY54" s="595">
        <v>869</v>
      </c>
      <c r="BZ54" s="39">
        <f t="shared" si="37"/>
        <v>132.37772469393849</v>
      </c>
      <c r="CA54" s="51">
        <f t="shared" si="38"/>
        <v>0.17970909804341234</v>
      </c>
      <c r="CC54" s="39"/>
    </row>
    <row r="55" spans="1:81" ht="18" customHeight="1">
      <c r="A55" s="59" t="s">
        <v>64</v>
      </c>
      <c r="B55" s="322">
        <f>'FY 2013 by Agency'!B55*Inflator!$E$2</f>
        <v>1655.6443381180225</v>
      </c>
      <c r="C55" s="322">
        <f>'FY 2013 by Agency'!C55*Inflator!$E$3</f>
        <v>2380.4381761978361</v>
      </c>
      <c r="D55" s="322">
        <f t="shared" si="6"/>
        <v>724.79383807981367</v>
      </c>
      <c r="E55" s="351">
        <f t="shared" si="7"/>
        <v>0.43777145936046247</v>
      </c>
      <c r="F55" s="10">
        <f>'FY 2013 by Agency'!F55*Inflator!$E$4</f>
        <v>2447.2843547773127</v>
      </c>
      <c r="G55" s="10">
        <f t="shared" si="8"/>
        <v>66.8461785794766</v>
      </c>
      <c r="H55" s="14">
        <f t="shared" si="9"/>
        <v>2.8081459643806803E-2</v>
      </c>
      <c r="I55" s="10">
        <f>'FY 2013 by Agency'!I55*Inflator!$E$5</f>
        <v>2908.9609520267763</v>
      </c>
      <c r="J55" s="10">
        <f t="shared" si="10"/>
        <v>461.67659724946361</v>
      </c>
      <c r="K55" s="14">
        <f t="shared" si="11"/>
        <v>0.18864853050207697</v>
      </c>
      <c r="L55" s="10">
        <f>'FY 2013 by Agency'!L55*Inflator!$E$6</f>
        <v>3043.5012722646306</v>
      </c>
      <c r="M55" s="10">
        <f t="shared" si="12"/>
        <v>134.5403202378543</v>
      </c>
      <c r="N55" s="14">
        <f t="shared" si="13"/>
        <v>4.6250301209480066E-2</v>
      </c>
      <c r="O55" s="10">
        <f>'FY 2013 by Agency'!O55*Inflator!$E$7</f>
        <v>2938.7138331573387</v>
      </c>
      <c r="P55" s="52">
        <f t="shared" si="63"/>
        <v>-104.7874391072919</v>
      </c>
      <c r="Q55" s="58">
        <f t="shared" si="45"/>
        <v>-3.4429898243256166E-2</v>
      </c>
      <c r="R55" s="52">
        <f>'FY 2013 by Agency'!R55*Inflator!$E$8</f>
        <v>3001.2206381534284</v>
      </c>
      <c r="S55" s="52">
        <f t="shared" si="46"/>
        <v>62.506804996089613</v>
      </c>
      <c r="T55" s="58">
        <f t="shared" si="47"/>
        <v>2.1270123103117062E-2</v>
      </c>
      <c r="U55" s="52">
        <f>'FY 2013 by Agency'!U55*Inflator!$E$9</f>
        <v>3441.9396551724135</v>
      </c>
      <c r="V55" s="52">
        <f t="shared" si="64"/>
        <v>440.71901701898514</v>
      </c>
      <c r="W55" s="58">
        <f t="shared" si="65"/>
        <v>0.14684659015611323</v>
      </c>
      <c r="X55" s="52">
        <f>'FY 2013 by Agency'!X55*Inflator!$E$10</f>
        <v>3338.6510003175617</v>
      </c>
      <c r="Y55" s="39">
        <f t="shared" si="48"/>
        <v>-103.28865485485176</v>
      </c>
      <c r="Z55" s="58">
        <f t="shared" si="49"/>
        <v>-3.0008851171935445E-2</v>
      </c>
      <c r="AA55" s="52">
        <f>'FY 2013 by Agency'!AA55*Inflator!$E$11</f>
        <v>3395.8349792927688</v>
      </c>
      <c r="AB55" s="39">
        <f t="shared" si="50"/>
        <v>57.183978975207083</v>
      </c>
      <c r="AC55" s="58">
        <f t="shared" si="51"/>
        <v>1.7127869600556608E-2</v>
      </c>
      <c r="AD55" s="52" t="e">
        <f>'FY 2013 by Agency'!AD55*Inflator!#REF!</f>
        <v>#REF!</v>
      </c>
      <c r="AE55" s="52">
        <f>'FY 2013 by Agency'!AE55*Inflator!$B$8</f>
        <v>0</v>
      </c>
      <c r="AF55" s="52">
        <f>'FY 2013 by Agency'!AF55*Inflator!$E$12</f>
        <v>3178.7055137844613</v>
      </c>
      <c r="AG55" s="52">
        <f t="shared" si="52"/>
        <v>-217.12946550830748</v>
      </c>
      <c r="AH55" s="58">
        <f t="shared" si="53"/>
        <v>-6.393993431139218E-2</v>
      </c>
      <c r="AI55" s="52">
        <f>'FY 2013 by Agency'!AI55*Inflator!$B$8</f>
        <v>0</v>
      </c>
      <c r="AJ55" s="52">
        <f>'FY 2013 by Agency'!AJ55*Inflator!$B$8</f>
        <v>0</v>
      </c>
      <c r="AK55" s="52">
        <f>'FY 2013 by Agency'!AK55</f>
        <v>3224</v>
      </c>
      <c r="AL55" s="52">
        <f>'FY 2013 by Agency'!AL55</f>
        <v>0</v>
      </c>
      <c r="AM55" s="52">
        <f>'FY 2013 by Agency'!AM55</f>
        <v>3224</v>
      </c>
      <c r="AN55" s="52">
        <f>'FY 2013 by Agency'!AN55</f>
        <v>2657</v>
      </c>
      <c r="AO55" s="52">
        <f>'FY 2013 by Agency'!AO55</f>
        <v>2657</v>
      </c>
      <c r="AP55" s="52">
        <f>'FY 2013 by Agency'!AP55</f>
        <v>180</v>
      </c>
      <c r="AQ55" s="52">
        <f>'FY 2013 by Agency'!AQ55</f>
        <v>15</v>
      </c>
      <c r="AR55" s="52">
        <f>'FY 2013 by Agency'!AR55</f>
        <v>195</v>
      </c>
      <c r="AS55" s="52">
        <f>'FY 2013 by Agency'!AS55</f>
        <v>2661.2408</v>
      </c>
      <c r="AT55" s="52" t="e">
        <f t="shared" si="54"/>
        <v>#REF!</v>
      </c>
      <c r="AU55" s="58" t="e">
        <f t="shared" si="55"/>
        <v>#REF!</v>
      </c>
      <c r="AV55" s="52">
        <f t="shared" si="56"/>
        <v>-517.46471378446131</v>
      </c>
      <c r="AW55" s="58">
        <f t="shared" si="57"/>
        <v>-0.16279102028812509</v>
      </c>
      <c r="AX55" s="39">
        <v>2660</v>
      </c>
      <c r="AY55" s="39">
        <v>2660</v>
      </c>
      <c r="AZ55" s="39">
        <f t="shared" si="58"/>
        <v>3</v>
      </c>
      <c r="BA55" s="39">
        <f t="shared" si="59"/>
        <v>-514.46471378446131</v>
      </c>
      <c r="BB55" s="39">
        <f t="shared" si="60"/>
        <v>2664.2408</v>
      </c>
      <c r="BC55" s="58">
        <f t="shared" si="61"/>
        <v>-0.16184723987594452</v>
      </c>
      <c r="BD55" s="291">
        <v>0</v>
      </c>
      <c r="BE55" s="51">
        <f t="shared" si="62"/>
        <v>0</v>
      </c>
      <c r="BF55" s="50">
        <v>76</v>
      </c>
      <c r="BI55" s="219">
        <v>2553</v>
      </c>
      <c r="BJ55" s="39">
        <f t="shared" si="66"/>
        <v>-107</v>
      </c>
      <c r="BK55" s="65">
        <f t="shared" si="67"/>
        <v>2748</v>
      </c>
      <c r="BL55" s="568">
        <f>'FY 2013 by Agency'!AS55*Inflator!$E$13</f>
        <v>2759.5044975282276</v>
      </c>
      <c r="BM55" s="256">
        <f t="shared" si="68"/>
        <v>-419.20101625623374</v>
      </c>
      <c r="BN55" s="51">
        <f t="shared" si="69"/>
        <v>-0.13187790263626747</v>
      </c>
      <c r="BO55" s="52">
        <f>'FY 2013 by Agency'!AX55*Inflator!$E$13</f>
        <v>2647.2670125114437</v>
      </c>
      <c r="BP55" s="52">
        <f t="shared" si="32"/>
        <v>-531.43850127301766</v>
      </c>
      <c r="BQ55" s="51">
        <f t="shared" si="33"/>
        <v>-0.16718708259334933</v>
      </c>
      <c r="BR55" s="52">
        <f>'FY 2013 by Agency'!BE55*Inflator!$E$14</f>
        <v>2581.2218572708275</v>
      </c>
      <c r="BS55" s="52">
        <f t="shared" si="34"/>
        <v>-66.045155240616168</v>
      </c>
      <c r="BT55" s="51">
        <f t="shared" si="35"/>
        <v>-2.4948429806466554E-2</v>
      </c>
      <c r="BU55" s="52">
        <f>'FY 2013 by Agency'!BL55*Inflator!$E$14</f>
        <v>2733.4165422514184</v>
      </c>
      <c r="BV55" s="52">
        <f t="shared" si="70"/>
        <v>-26.087955276809225</v>
      </c>
      <c r="BW55" s="487">
        <v>2596</v>
      </c>
      <c r="BX55" s="39">
        <f>'FY 2013 by Agency'!BW55*Inflator!E15</f>
        <v>2771</v>
      </c>
      <c r="BY55" s="595">
        <v>2596</v>
      </c>
      <c r="BZ55" s="39">
        <f t="shared" si="37"/>
        <v>14.778142729172487</v>
      </c>
      <c r="CA55" s="51">
        <f t="shared" si="38"/>
        <v>5.7252508874993347E-3</v>
      </c>
      <c r="CC55" s="39"/>
    </row>
    <row r="56" spans="1:81" ht="18" customHeight="1">
      <c r="A56" s="59" t="s">
        <v>65</v>
      </c>
      <c r="B56" s="322">
        <f>'FY 2013 by Agency'!B56*Inflator!$E$2</f>
        <v>7974.7320574162686</v>
      </c>
      <c r="C56" s="322">
        <f>'FY 2013 by Agency'!C56*Inflator!$E$3</f>
        <v>10573.452086553323</v>
      </c>
      <c r="D56" s="322">
        <f t="shared" si="6"/>
        <v>2598.7200291370546</v>
      </c>
      <c r="E56" s="351">
        <f t="shared" si="7"/>
        <v>0.32586925935904276</v>
      </c>
      <c r="F56" s="10">
        <f>'FY 2013 by Agency'!F56*Inflator!$E$4</f>
        <v>10716.570232204034</v>
      </c>
      <c r="G56" s="10">
        <f t="shared" si="8"/>
        <v>143.11814565071109</v>
      </c>
      <c r="H56" s="14">
        <f t="shared" si="9"/>
        <v>1.3535612066821591E-2</v>
      </c>
      <c r="I56" s="10">
        <f>'FY 2013 by Agency'!I56*Inflator!$E$5</f>
        <v>12866.655262179251</v>
      </c>
      <c r="J56" s="10">
        <f t="shared" si="10"/>
        <v>2150.0850299752165</v>
      </c>
      <c r="K56" s="14">
        <f t="shared" si="11"/>
        <v>0.20063182374469607</v>
      </c>
      <c r="L56" s="10">
        <f>'FY 2013 by Agency'!L56*Inflator!$E$6</f>
        <v>20488.050163576878</v>
      </c>
      <c r="M56" s="10">
        <f t="shared" si="12"/>
        <v>7621.3949013976271</v>
      </c>
      <c r="N56" s="14">
        <f t="shared" si="13"/>
        <v>0.59233691632356489</v>
      </c>
      <c r="O56" s="10">
        <f>'FY 2013 by Agency'!O56*Inflator!$E$7</f>
        <v>56801.977472720864</v>
      </c>
      <c r="P56" s="52">
        <f t="shared" si="63"/>
        <v>36313.927309143983</v>
      </c>
      <c r="Q56" s="58">
        <f t="shared" si="45"/>
        <v>1.7724442794318191</v>
      </c>
      <c r="R56" s="52">
        <f>'FY 2013 by Agency'!R56*Inflator!$E$8</f>
        <v>59268.91717583163</v>
      </c>
      <c r="S56" s="52">
        <f t="shared" si="46"/>
        <v>2466.9397031107655</v>
      </c>
      <c r="T56" s="58">
        <f t="shared" si="47"/>
        <v>4.3430525007611097E-2</v>
      </c>
      <c r="U56" s="52">
        <f>'FY 2013 by Agency'!U56*Inflator!$E$9</f>
        <v>84820.434350132622</v>
      </c>
      <c r="V56" s="52">
        <f t="shared" si="64"/>
        <v>25551.517174300992</v>
      </c>
      <c r="W56" s="58">
        <f t="shared" si="65"/>
        <v>0.43111159089507134</v>
      </c>
      <c r="X56" s="52">
        <f>'FY 2013 by Agency'!X56*Inflator!$E$10</f>
        <v>20976.094633216897</v>
      </c>
      <c r="Y56" s="39">
        <f t="shared" si="48"/>
        <v>-63844.339716915725</v>
      </c>
      <c r="Z56" s="58">
        <f t="shared" si="49"/>
        <v>-0.7526999856351938</v>
      </c>
      <c r="AA56" s="52">
        <f>'FY 2013 by Agency'!AA56*Inflator!$E$11</f>
        <v>66772.486142083479</v>
      </c>
      <c r="AB56" s="39">
        <f t="shared" si="50"/>
        <v>45796.391508866582</v>
      </c>
      <c r="AC56" s="58">
        <f t="shared" si="51"/>
        <v>2.183265870489794</v>
      </c>
      <c r="AD56" s="52" t="e">
        <f>'FY 2013 by Agency'!AD56*Inflator!#REF!</f>
        <v>#REF!</v>
      </c>
      <c r="AE56" s="52">
        <f>'FY 2013 by Agency'!AE56*Inflator!$B$8</f>
        <v>0</v>
      </c>
      <c r="AF56" s="52">
        <f>'FY 2013 by Agency'!AF56*Inflator!$E$12</f>
        <v>28164.437969924817</v>
      </c>
      <c r="AG56" s="52">
        <f t="shared" si="52"/>
        <v>-38608.048172158662</v>
      </c>
      <c r="AH56" s="58">
        <f t="shared" si="53"/>
        <v>-0.57820294559656771</v>
      </c>
      <c r="AI56" s="52">
        <f>'FY 2013 by Agency'!AI56*Inflator!$B$8</f>
        <v>0</v>
      </c>
      <c r="AJ56" s="52">
        <f>'FY 2013 by Agency'!AJ56*Inflator!$B$8</f>
        <v>0</v>
      </c>
      <c r="AK56" s="52">
        <f>'FY 2013 by Agency'!AK56</f>
        <v>9925</v>
      </c>
      <c r="AL56" s="52">
        <f>'FY 2013 by Agency'!AL56</f>
        <v>5031</v>
      </c>
      <c r="AM56" s="52">
        <f>'FY 2013 by Agency'!AM56</f>
        <v>14956</v>
      </c>
      <c r="AN56" s="52">
        <f>'FY 2013 by Agency'!AN56</f>
        <v>12064</v>
      </c>
      <c r="AO56" s="52">
        <f>'FY 2013 by Agency'!AO56</f>
        <v>20478</v>
      </c>
      <c r="AP56" s="52">
        <f>'FY 2013 by Agency'!AP56</f>
        <v>2445</v>
      </c>
      <c r="AQ56" s="52">
        <f>'FY 2013 by Agency'!AQ56</f>
        <v>54</v>
      </c>
      <c r="AR56" s="52">
        <f>'FY 2013 by Agency'!AR56</f>
        <v>2499</v>
      </c>
      <c r="AS56" s="52">
        <f>'FY 2013 by Agency'!AS56</f>
        <v>19880.780460000002</v>
      </c>
      <c r="AT56" s="52" t="e">
        <f t="shared" si="54"/>
        <v>#REF!</v>
      </c>
      <c r="AU56" s="58" t="e">
        <f t="shared" si="55"/>
        <v>#REF!</v>
      </c>
      <c r="AV56" s="52">
        <f t="shared" si="56"/>
        <v>-8283.6575099248148</v>
      </c>
      <c r="AW56" s="58">
        <f t="shared" si="57"/>
        <v>-0.29411762161810068</v>
      </c>
      <c r="AX56" s="39">
        <f>12064+8414</f>
        <v>20478</v>
      </c>
      <c r="AY56" s="39">
        <f>12064+8414</f>
        <v>20478</v>
      </c>
      <c r="AZ56" s="39">
        <f t="shared" si="58"/>
        <v>0</v>
      </c>
      <c r="BA56" s="39">
        <f t="shared" si="59"/>
        <v>-8283.6575099248148</v>
      </c>
      <c r="BB56" s="39">
        <f t="shared" si="60"/>
        <v>19880.780460000002</v>
      </c>
      <c r="BC56" s="58">
        <f t="shared" si="61"/>
        <v>-0.29411762161810073</v>
      </c>
      <c r="BD56" s="291">
        <v>960.21699999999998</v>
      </c>
      <c r="BE56" s="51">
        <f t="shared" si="62"/>
        <v>4.6890174821759938E-2</v>
      </c>
      <c r="BF56" s="50">
        <v>1486</v>
      </c>
      <c r="BG56" s="50">
        <v>44</v>
      </c>
      <c r="BI56" s="219">
        <v>18876</v>
      </c>
      <c r="BJ56" s="39">
        <f t="shared" si="66"/>
        <v>-1602</v>
      </c>
      <c r="BK56" s="65">
        <f>BI56+AP56+AQ56+26793</f>
        <v>48168</v>
      </c>
      <c r="BL56" s="568">
        <f>'FY 2013 by Agency'!AS56*Inflator!$E$13</f>
        <v>20614.858713176691</v>
      </c>
      <c r="BM56" s="256">
        <f t="shared" si="68"/>
        <v>-7549.5792567481258</v>
      </c>
      <c r="BN56" s="51">
        <f t="shared" si="69"/>
        <v>-0.26805360947766427</v>
      </c>
      <c r="BO56" s="52">
        <f>'FY 2013 by Agency'!AX56*Inflator!$E$13</f>
        <v>19572.97772352762</v>
      </c>
      <c r="BP56" s="52">
        <f t="shared" si="32"/>
        <v>-8591.4602463971969</v>
      </c>
      <c r="BQ56" s="51">
        <f t="shared" si="33"/>
        <v>-0.30504639416456752</v>
      </c>
      <c r="BR56" s="52">
        <f>'FY 2013 by Agency'!BE56*Inflator!$E$14</f>
        <v>20311.902657509705</v>
      </c>
      <c r="BS56" s="52">
        <f t="shared" si="34"/>
        <v>738.92493398208535</v>
      </c>
      <c r="BT56" s="51">
        <f t="shared" si="35"/>
        <v>3.7752300361220133E-2</v>
      </c>
      <c r="BU56" s="52">
        <f>'FY 2013 by Agency'!BL56*Inflator!$E$14</f>
        <v>23520.166616900569</v>
      </c>
      <c r="BV56" s="52">
        <f t="shared" si="70"/>
        <v>2905.3079037238786</v>
      </c>
      <c r="BW56" s="487">
        <v>14784</v>
      </c>
      <c r="BX56" s="39">
        <f>'FY 2013 by Agency'!BW56*Inflator!E15</f>
        <v>18268</v>
      </c>
      <c r="BY56" s="595">
        <v>19091</v>
      </c>
      <c r="BZ56" s="39">
        <f t="shared" si="37"/>
        <v>-5527.902657509705</v>
      </c>
      <c r="CA56" s="51">
        <f t="shared" si="38"/>
        <v>-0.27215090337516618</v>
      </c>
      <c r="CC56" s="39"/>
    </row>
    <row r="57" spans="1:81" ht="18" customHeight="1">
      <c r="A57" s="59" t="s">
        <v>94</v>
      </c>
      <c r="B57" s="325" t="s">
        <v>78</v>
      </c>
      <c r="C57" s="325" t="s">
        <v>78</v>
      </c>
      <c r="D57" s="325" t="s">
        <v>78</v>
      </c>
      <c r="E57" s="325" t="s">
        <v>78</v>
      </c>
      <c r="F57" s="10">
        <f>'FY 2013 by Agency'!F57*Inflator!$E$4</f>
        <v>0</v>
      </c>
      <c r="G57" s="325" t="s">
        <v>78</v>
      </c>
      <c r="H57" s="325" t="s">
        <v>78</v>
      </c>
      <c r="I57" s="10">
        <f>'FY 2013 by Agency'!I57*Inflator!$E$5</f>
        <v>0</v>
      </c>
      <c r="J57" s="10">
        <f t="shared" si="10"/>
        <v>0</v>
      </c>
      <c r="K57" s="325" t="s">
        <v>78</v>
      </c>
      <c r="L57" s="10">
        <f>'FY 2013 by Agency'!L57*Inflator!$E$6</f>
        <v>0</v>
      </c>
      <c r="M57" s="10">
        <f t="shared" si="12"/>
        <v>0</v>
      </c>
      <c r="N57" s="325" t="s">
        <v>78</v>
      </c>
      <c r="O57" s="10">
        <f>'FY 2013 by Agency'!O57*Inflator!$E$7</f>
        <v>0</v>
      </c>
      <c r="P57" s="66">
        <v>0</v>
      </c>
      <c r="Q57" s="60" t="s">
        <v>78</v>
      </c>
      <c r="R57" s="52">
        <f>'FY 2013 by Agency'!R57*Inflator!$E$8</f>
        <v>12575.829599456891</v>
      </c>
      <c r="S57" s="52">
        <f t="shared" si="46"/>
        <v>12575.829599456891</v>
      </c>
      <c r="T57" s="60" t="s">
        <v>78</v>
      </c>
      <c r="U57" s="52">
        <f>'FY 2013 by Agency'!U57*Inflator!$E$9</f>
        <v>25608.932360742703</v>
      </c>
      <c r="V57" s="52">
        <f t="shared" si="64"/>
        <v>13033.102761285812</v>
      </c>
      <c r="W57" s="58">
        <f t="shared" si="65"/>
        <v>1.0363612720904449</v>
      </c>
      <c r="X57" s="52">
        <f>'FY 2013 by Agency'!X57*Inflator!$E$10</f>
        <v>33432.910130200071</v>
      </c>
      <c r="Y57" s="39">
        <f t="shared" si="48"/>
        <v>7823.9777694573677</v>
      </c>
      <c r="Z57" s="58">
        <f t="shared" si="49"/>
        <v>0.3055175303384049</v>
      </c>
      <c r="AA57" s="52">
        <f>'FY 2013 by Agency'!AA57*Inflator!$E$11</f>
        <v>33539.418286078377</v>
      </c>
      <c r="AB57" s="39">
        <f t="shared" si="50"/>
        <v>106.50815587830584</v>
      </c>
      <c r="AC57" s="58">
        <f t="shared" si="51"/>
        <v>3.1857279388340363E-3</v>
      </c>
      <c r="AD57" s="52" t="e">
        <f>'FY 2013 by Agency'!AD57*Inflator!#REF!</f>
        <v>#REF!</v>
      </c>
      <c r="AE57" s="52">
        <f>'FY 2013 by Agency'!AE57*Inflator!$B$8</f>
        <v>0</v>
      </c>
      <c r="AF57" s="52">
        <f>'FY 2013 by Agency'!AF57*Inflator!$E$12</f>
        <v>26723.05576441103</v>
      </c>
      <c r="AG57" s="52">
        <f t="shared" si="52"/>
        <v>-6816.3625216673463</v>
      </c>
      <c r="AH57" s="58">
        <f t="shared" si="53"/>
        <v>-0.203234369288292</v>
      </c>
      <c r="AI57" s="52">
        <f>'FY 2013 by Agency'!AI57*Inflator!$B$8</f>
        <v>0</v>
      </c>
      <c r="AJ57" s="52">
        <f>'FY 2013 by Agency'!AJ57*Inflator!$B$8</f>
        <v>0</v>
      </c>
      <c r="AK57" s="52">
        <f>'FY 2013 by Agency'!AK57</f>
        <v>16457</v>
      </c>
      <c r="AL57" s="52">
        <f>'FY 2013 by Agency'!AL57</f>
        <v>9000</v>
      </c>
      <c r="AM57" s="52">
        <f>'FY 2013 by Agency'!AM57</f>
        <v>25457</v>
      </c>
      <c r="AN57" s="52">
        <f>'FY 2013 by Agency'!AN57</f>
        <v>24823</v>
      </c>
      <c r="AO57" s="52">
        <f>'FY 2013 by Agency'!AO57</f>
        <v>24823</v>
      </c>
      <c r="AP57" s="52">
        <f>'FY 2013 by Agency'!AP57</f>
        <v>0</v>
      </c>
      <c r="AQ57" s="52">
        <f>'FY 2013 by Agency'!AQ57</f>
        <v>0</v>
      </c>
      <c r="AR57" s="52">
        <f>'FY 2013 by Agency'!AR57</f>
        <v>0</v>
      </c>
      <c r="AS57" s="52">
        <f>'FY 2013 by Agency'!AS57</f>
        <v>22822.88351</v>
      </c>
      <c r="AT57" s="52" t="e">
        <f t="shared" si="54"/>
        <v>#REF!</v>
      </c>
      <c r="AU57" s="58" t="e">
        <f t="shared" si="55"/>
        <v>#REF!</v>
      </c>
      <c r="AV57" s="52">
        <f t="shared" si="56"/>
        <v>-3900.1722544110307</v>
      </c>
      <c r="AW57" s="58">
        <f t="shared" si="57"/>
        <v>-0.14594783952833582</v>
      </c>
      <c r="AX57" s="39">
        <v>25823</v>
      </c>
      <c r="AY57" s="39">
        <v>25823</v>
      </c>
      <c r="AZ57" s="39">
        <f t="shared" si="58"/>
        <v>1000</v>
      </c>
      <c r="BA57" s="39">
        <f t="shared" si="59"/>
        <v>-2900.1722544110307</v>
      </c>
      <c r="BB57" s="39">
        <f t="shared" si="60"/>
        <v>23822.88351</v>
      </c>
      <c r="BC57" s="58">
        <f t="shared" si="61"/>
        <v>-0.10852696936977524</v>
      </c>
      <c r="BD57" s="291">
        <v>0</v>
      </c>
      <c r="BE57" s="51">
        <f t="shared" si="62"/>
        <v>0</v>
      </c>
      <c r="BF57" s="220">
        <v>3000</v>
      </c>
      <c r="BI57" s="219">
        <v>22823</v>
      </c>
      <c r="BJ57" s="39">
        <f t="shared" si="66"/>
        <v>-3000</v>
      </c>
      <c r="BK57" s="65">
        <f t="shared" si="67"/>
        <v>22823</v>
      </c>
      <c r="BL57" s="568">
        <f>'FY 2013 by Agency'!AS57*Inflator!$E$13</f>
        <v>23665.596022880687</v>
      </c>
      <c r="BM57" s="256">
        <f t="shared" si="68"/>
        <v>-3057.4597415303433</v>
      </c>
      <c r="BN57" s="51">
        <f t="shared" si="69"/>
        <v>-0.11441280400283328</v>
      </c>
      <c r="BO57" s="52">
        <f>'FY 2013 by Agency'!AX57*Inflator!$E$13</f>
        <v>23665.716814159296</v>
      </c>
      <c r="BP57" s="52">
        <f t="shared" si="32"/>
        <v>-3057.3389502517348</v>
      </c>
      <c r="BQ57" s="51">
        <f t="shared" si="33"/>
        <v>-0.11440828388808018</v>
      </c>
      <c r="BR57" s="52">
        <f>'FY 2013 by Agency'!BE57*Inflator!$E$14</f>
        <v>22321.887130486713</v>
      </c>
      <c r="BS57" s="52">
        <f t="shared" si="34"/>
        <v>-1343.8296836725822</v>
      </c>
      <c r="BT57" s="51">
        <f t="shared" si="35"/>
        <v>-5.6783814926263436E-2</v>
      </c>
      <c r="BU57" s="52">
        <f>'FY 2013 by Agency'!BL57*Inflator!$E$14</f>
        <v>22321.887130486713</v>
      </c>
      <c r="BV57" s="52">
        <f t="shared" si="70"/>
        <v>-1343.7088923939737</v>
      </c>
      <c r="BW57" s="39">
        <v>30182</v>
      </c>
      <c r="BX57" s="39">
        <f>'FY 2013 by Agency'!BW57*Inflator!E15</f>
        <v>30182</v>
      </c>
      <c r="BY57" s="534">
        <v>14213</v>
      </c>
      <c r="BZ57" s="39">
        <f t="shared" si="37"/>
        <v>7860.1128695132866</v>
      </c>
      <c r="CA57" s="51">
        <f t="shared" si="38"/>
        <v>0.3521258226764406</v>
      </c>
      <c r="CC57" s="39"/>
    </row>
    <row r="58" spans="1:81" ht="18" customHeight="1">
      <c r="A58" s="59" t="s">
        <v>8</v>
      </c>
      <c r="B58" s="322">
        <f>'FY 2013 by Agency'!B58*Inflator!$E$2</f>
        <v>32230.870015948967</v>
      </c>
      <c r="C58" s="322">
        <f>'FY 2013 by Agency'!C58*Inflator!$E$3</f>
        <v>34774.354714064917</v>
      </c>
      <c r="D58" s="322">
        <f t="shared" si="6"/>
        <v>2543.4846981159499</v>
      </c>
      <c r="E58" s="351">
        <f t="shared" si="7"/>
        <v>7.8914552938141119E-2</v>
      </c>
      <c r="F58" s="10">
        <f>'FY 2013 by Agency'!F58*Inflator!$E$4</f>
        <v>30973.927674153027</v>
      </c>
      <c r="G58" s="10">
        <f t="shared" si="8"/>
        <v>-3800.4270399118905</v>
      </c>
      <c r="H58" s="14">
        <f t="shared" si="9"/>
        <v>-0.10928821170547158</v>
      </c>
      <c r="I58" s="10">
        <f>'FY 2013 by Agency'!I58*Inflator!$E$5</f>
        <v>42393.493492004469</v>
      </c>
      <c r="J58" s="10">
        <f t="shared" si="10"/>
        <v>11419.565817851442</v>
      </c>
      <c r="K58" s="14">
        <f t="shared" si="11"/>
        <v>0.36868316921204625</v>
      </c>
      <c r="L58" s="10">
        <f>'FY 2013 by Agency'!L58*Inflator!$E$6</f>
        <v>36898.747364594688</v>
      </c>
      <c r="M58" s="10">
        <f t="shared" si="12"/>
        <v>-5494.7461274097805</v>
      </c>
      <c r="N58" s="14">
        <f t="shared" si="13"/>
        <v>-0.12961295884818044</v>
      </c>
      <c r="O58" s="10">
        <f>'FY 2013 by Agency'!O58*Inflator!$E$7</f>
        <v>48189.165786694823</v>
      </c>
      <c r="P58" s="52">
        <f t="shared" si="63"/>
        <v>11290.418422100134</v>
      </c>
      <c r="Q58" s="58">
        <f t="shared" si="45"/>
        <v>0.30598378613073424</v>
      </c>
      <c r="R58" s="52">
        <f>'FY 2013 by Agency'!R58*Inflator!$E$8</f>
        <v>56274.61710794297</v>
      </c>
      <c r="S58" s="52">
        <f t="shared" si="46"/>
        <v>8085.451321248147</v>
      </c>
      <c r="T58" s="58">
        <f t="shared" si="47"/>
        <v>0.16778566694924121</v>
      </c>
      <c r="U58" s="52">
        <f>'FY 2013 by Agency'!U58*Inflator!$E$9</f>
        <v>79149.965517241377</v>
      </c>
      <c r="V58" s="52">
        <f t="shared" si="64"/>
        <v>22875.348409298407</v>
      </c>
      <c r="W58" s="58">
        <f t="shared" si="65"/>
        <v>0.40649496318064915</v>
      </c>
      <c r="X58" s="52">
        <f>'FY 2013 by Agency'!X58*Inflator!$E$10</f>
        <v>120846.43315338204</v>
      </c>
      <c r="Y58" s="39">
        <f t="shared" si="48"/>
        <v>41696.46763614066</v>
      </c>
      <c r="Z58" s="58">
        <f t="shared" si="49"/>
        <v>0.526803358203079</v>
      </c>
      <c r="AA58" s="52">
        <f>'FY 2013 by Agency'!AA58*Inflator!$E$11</f>
        <v>100945.17298502709</v>
      </c>
      <c r="AB58" s="39">
        <f t="shared" si="50"/>
        <v>-19901.260168354944</v>
      </c>
      <c r="AC58" s="58">
        <f t="shared" si="51"/>
        <v>-0.1646822305718833</v>
      </c>
      <c r="AD58" s="52" t="e">
        <f>'FY 2013 by Agency'!AD58*Inflator!#REF!</f>
        <v>#REF!</v>
      </c>
      <c r="AE58" s="52">
        <f>'FY 2013 by Agency'!AE58*Inflator!$B$8</f>
        <v>0</v>
      </c>
      <c r="AF58" s="52">
        <f>'FY 2013 by Agency'!AF58*Inflator!$E$12</f>
        <v>83973.82017543861</v>
      </c>
      <c r="AG58" s="52">
        <f t="shared" si="52"/>
        <v>-16971.352809588483</v>
      </c>
      <c r="AH58" s="58">
        <f t="shared" si="53"/>
        <v>-0.16812446110826712</v>
      </c>
      <c r="AI58" s="52">
        <f>'FY 2013 by Agency'!AI58*Inflator!$B$8</f>
        <v>0</v>
      </c>
      <c r="AJ58" s="52">
        <f>'FY 2013 by Agency'!AJ58*Inflator!$B$8</f>
        <v>0</v>
      </c>
      <c r="AK58" s="52">
        <f>'FY 2013 by Agency'!AK58</f>
        <v>33420</v>
      </c>
      <c r="AL58" s="52">
        <f>'FY 2013 by Agency'!AL58</f>
        <v>23420</v>
      </c>
      <c r="AM58" s="52">
        <f>'FY 2013 by Agency'!AM58</f>
        <v>56840</v>
      </c>
      <c r="AN58" s="52">
        <f>'FY 2013 by Agency'!AN58</f>
        <v>37872</v>
      </c>
      <c r="AO58" s="52">
        <f>'FY 2013 by Agency'!AO58</f>
        <v>74366</v>
      </c>
      <c r="AP58" s="52">
        <f>'FY 2013 by Agency'!AP58</f>
        <v>8901</v>
      </c>
      <c r="AQ58" s="52">
        <f>'FY 2013 by Agency'!AQ58</f>
        <v>737</v>
      </c>
      <c r="AR58" s="52">
        <f>'FY 2013 by Agency'!AR58</f>
        <v>9638</v>
      </c>
      <c r="AS58" s="52">
        <f>'FY 2013 by Agency'!AS58</f>
        <v>69549.239529999992</v>
      </c>
      <c r="AT58" s="52" t="e">
        <f t="shared" si="54"/>
        <v>#REF!</v>
      </c>
      <c r="AU58" s="58" t="e">
        <f t="shared" si="55"/>
        <v>#REF!</v>
      </c>
      <c r="AV58" s="52">
        <f t="shared" si="56"/>
        <v>-14424.580645438618</v>
      </c>
      <c r="AW58" s="58">
        <f t="shared" si="57"/>
        <v>-0.17177473426006698</v>
      </c>
      <c r="AX58" s="39">
        <f>36630+36494</f>
        <v>73124</v>
      </c>
      <c r="AY58" s="39">
        <f>36630+36494</f>
        <v>73124</v>
      </c>
      <c r="AZ58" s="39">
        <f t="shared" si="58"/>
        <v>-1242</v>
      </c>
      <c r="BA58" s="39">
        <f t="shared" si="59"/>
        <v>-15666.580645438618</v>
      </c>
      <c r="BB58" s="39">
        <f t="shared" si="60"/>
        <v>68307.239529999992</v>
      </c>
      <c r="BC58" s="58">
        <f t="shared" si="61"/>
        <v>-0.18656505816584146</v>
      </c>
      <c r="BD58" s="291">
        <v>3176.8449999999998</v>
      </c>
      <c r="BE58" s="51">
        <f t="shared" si="62"/>
        <v>4.3444628302609263E-2</v>
      </c>
      <c r="BF58" s="50">
        <v>4687</v>
      </c>
      <c r="BI58" s="219">
        <v>74405</v>
      </c>
      <c r="BJ58" s="39">
        <f t="shared" si="66"/>
        <v>1281</v>
      </c>
      <c r="BK58" s="65">
        <f t="shared" si="67"/>
        <v>84043</v>
      </c>
      <c r="BL58" s="568">
        <f>'FY 2013 by Agency'!AS58*Inflator!$E$13</f>
        <v>72117.276754025021</v>
      </c>
      <c r="BM58" s="256">
        <f t="shared" si="68"/>
        <v>-11856.543421413589</v>
      </c>
      <c r="BN58" s="51">
        <f t="shared" si="69"/>
        <v>-0.14119333140546456</v>
      </c>
      <c r="BO58" s="52">
        <f>'FY 2013 by Agency'!AX58*Inflator!$E$13</f>
        <v>77152.331400671363</v>
      </c>
      <c r="BP58" s="52">
        <f t="shared" si="32"/>
        <v>-6821.4887747672474</v>
      </c>
      <c r="BQ58" s="51">
        <f t="shared" si="33"/>
        <v>-8.1233517309510894E-2</v>
      </c>
      <c r="BR58" s="52">
        <f>'FY 2013 by Agency'!BE58*Inflator!$E$14</f>
        <v>71668.477157360408</v>
      </c>
      <c r="BS58" s="52">
        <f t="shared" si="34"/>
        <v>-5483.8542433109542</v>
      </c>
      <c r="BT58" s="51">
        <f t="shared" si="35"/>
        <v>-7.1078270011465064E-2</v>
      </c>
      <c r="BU58" s="52">
        <f>'FY 2013 by Agency'!BL58*Inflator!$E$14</f>
        <v>77038.920274708871</v>
      </c>
      <c r="BV58" s="52">
        <f t="shared" si="70"/>
        <v>4921.6435206838505</v>
      </c>
      <c r="BW58" s="487">
        <v>78332</v>
      </c>
      <c r="BX58" s="39">
        <f>'FY 2013 by Agency'!BW58*Inflator!E15</f>
        <v>83522</v>
      </c>
      <c r="BY58" s="595">
        <v>78332</v>
      </c>
      <c r="BZ58" s="39">
        <f t="shared" si="37"/>
        <v>6663.5228426395915</v>
      </c>
      <c r="CA58" s="51">
        <f t="shared" si="38"/>
        <v>9.2977039654528817E-2</v>
      </c>
      <c r="CC58" s="39"/>
    </row>
    <row r="59" spans="1:81" ht="18" customHeight="1">
      <c r="A59" s="59" t="s">
        <v>165</v>
      </c>
      <c r="B59" s="322">
        <f>'FY 2013 by Agency'!B59*Inflator!$E$2</f>
        <v>325.16746411483257</v>
      </c>
      <c r="C59" s="322">
        <f>'FY 2013 by Agency'!C59*Inflator!$E$3</f>
        <v>315.1159196290572</v>
      </c>
      <c r="D59" s="322">
        <f t="shared" si="6"/>
        <v>-10.051544485775366</v>
      </c>
      <c r="E59" s="351">
        <f t="shared" si="7"/>
        <v>-3.091190108191659E-2</v>
      </c>
      <c r="F59" s="10">
        <f>'FY 2013 by Agency'!F59*Inflator!$E$4</f>
        <v>314.31823372668441</v>
      </c>
      <c r="G59" s="10">
        <f t="shared" si="8"/>
        <v>-0.79768590237279113</v>
      </c>
      <c r="H59" s="14">
        <f t="shared" si="9"/>
        <v>-2.5314046440808114E-3</v>
      </c>
      <c r="I59" s="10">
        <f>'FY 2013 by Agency'!I59*Inflator!$E$5</f>
        <v>328.55336556340654</v>
      </c>
      <c r="J59" s="10">
        <f t="shared" si="10"/>
        <v>14.235131836722132</v>
      </c>
      <c r="K59" s="14">
        <f t="shared" si="11"/>
        <v>4.5288915211645978E-2</v>
      </c>
      <c r="L59" s="10">
        <f>'FY 2013 by Agency'!L59*Inflator!$E$6</f>
        <v>91.403853144311142</v>
      </c>
      <c r="M59" s="10">
        <f t="shared" si="12"/>
        <v>-237.1495124190954</v>
      </c>
      <c r="N59" s="14">
        <f t="shared" si="13"/>
        <v>-0.72179906607387534</v>
      </c>
      <c r="O59" s="10">
        <f>'FY 2013 by Agency'!O59*Inflator!$E$7</f>
        <v>0</v>
      </c>
      <c r="P59" s="52">
        <f t="shared" si="63"/>
        <v>-91.403853144311142</v>
      </c>
      <c r="Q59" s="58">
        <f t="shared" si="45"/>
        <v>-1</v>
      </c>
      <c r="R59" s="52">
        <f>'FY 2013 by Agency'!R59*Inflator!$E$8</f>
        <v>0</v>
      </c>
      <c r="S59" s="52">
        <f t="shared" si="46"/>
        <v>0</v>
      </c>
      <c r="T59" s="60" t="s">
        <v>78</v>
      </c>
      <c r="U59" s="52">
        <f>'FY 2013 by Agency'!U59*Inflator!$E$9</f>
        <v>0</v>
      </c>
      <c r="V59" s="52">
        <f t="shared" si="64"/>
        <v>0</v>
      </c>
      <c r="W59" s="60" t="s">
        <v>78</v>
      </c>
      <c r="X59" s="52">
        <f>'FY 2013 by Agency'!X59*Inflator!$E$10</f>
        <v>0</v>
      </c>
      <c r="Y59" s="39">
        <f t="shared" si="48"/>
        <v>0</v>
      </c>
      <c r="Z59" s="61" t="s">
        <v>127</v>
      </c>
      <c r="AA59" s="52">
        <f>'FY 2013 by Agency'!AA59*Inflator!$E$11</f>
        <v>0</v>
      </c>
      <c r="AB59" s="39">
        <f t="shared" si="50"/>
        <v>0</v>
      </c>
      <c r="AC59" s="58"/>
      <c r="AD59" s="52" t="e">
        <f>'FY 2013 by Agency'!AD59*Inflator!#REF!</f>
        <v>#REF!</v>
      </c>
      <c r="AE59" s="52">
        <f>'FY 2013 by Agency'!AE59*Inflator!$B$8</f>
        <v>0</v>
      </c>
      <c r="AF59" s="52">
        <f>'FY 2013 by Agency'!AF59*Inflator!$E$12</f>
        <v>0</v>
      </c>
      <c r="AG59" s="52">
        <f t="shared" si="52"/>
        <v>0</v>
      </c>
      <c r="AH59" s="58" t="e">
        <f t="shared" si="53"/>
        <v>#DIV/0!</v>
      </c>
      <c r="AI59" s="52">
        <f>'FY 2013 by Agency'!AI59*Inflator!$B$8</f>
        <v>0</v>
      </c>
      <c r="AJ59" s="52">
        <f>'FY 2013 by Agency'!AJ59*Inflator!$B$8</f>
        <v>0</v>
      </c>
      <c r="AK59" s="52">
        <f>'FY 2013 by Agency'!AK59</f>
        <v>0</v>
      </c>
      <c r="AL59" s="52">
        <f>'FY 2013 by Agency'!AL59</f>
        <v>0</v>
      </c>
      <c r="AM59" s="52">
        <f>'FY 2013 by Agency'!AM59</f>
        <v>0</v>
      </c>
      <c r="AN59" s="52">
        <f>'FY 2013 by Agency'!AN59</f>
        <v>0</v>
      </c>
      <c r="AO59" s="52">
        <f>'FY 2013 by Agency'!AO59</f>
        <v>0</v>
      </c>
      <c r="AP59" s="52">
        <f>'FY 2013 by Agency'!AP59</f>
        <v>0</v>
      </c>
      <c r="AQ59" s="52">
        <f>'FY 2013 by Agency'!AQ59</f>
        <v>0</v>
      </c>
      <c r="AR59" s="52">
        <f>'FY 2013 by Agency'!AR59</f>
        <v>0</v>
      </c>
      <c r="AS59" s="52">
        <f>'FY 2013 by Agency'!AS59</f>
        <v>0</v>
      </c>
      <c r="AT59" s="52" t="e">
        <f t="shared" si="54"/>
        <v>#REF!</v>
      </c>
      <c r="AU59" s="58" t="e">
        <f t="shared" si="55"/>
        <v>#REF!</v>
      </c>
      <c r="AV59" s="52">
        <f t="shared" si="56"/>
        <v>0</v>
      </c>
      <c r="AW59" s="58" t="e">
        <f t="shared" si="57"/>
        <v>#DIV/0!</v>
      </c>
      <c r="AX59" s="39"/>
      <c r="AY59" s="39"/>
      <c r="AZ59" s="39">
        <f t="shared" si="58"/>
        <v>0</v>
      </c>
      <c r="BA59" s="39">
        <f t="shared" si="59"/>
        <v>0</v>
      </c>
      <c r="BB59" s="39">
        <f t="shared" si="60"/>
        <v>0</v>
      </c>
      <c r="BC59" s="58" t="e">
        <f t="shared" si="61"/>
        <v>#DIV/0!</v>
      </c>
      <c r="BD59" s="291"/>
      <c r="BE59" s="51"/>
      <c r="BI59" s="65"/>
      <c r="BJ59" s="39">
        <f t="shared" si="66"/>
        <v>0</v>
      </c>
      <c r="BK59" s="65">
        <f t="shared" si="67"/>
        <v>0</v>
      </c>
      <c r="BL59" s="568">
        <f>'FY 2013 by Agency'!AS59*Inflator!$E$13</f>
        <v>0</v>
      </c>
      <c r="BM59" s="256">
        <f t="shared" si="68"/>
        <v>0</v>
      </c>
      <c r="BN59" s="51" t="e">
        <f t="shared" si="69"/>
        <v>#DIV/0!</v>
      </c>
      <c r="BO59" s="52">
        <f>'FY 2013 by Agency'!AX59*Inflator!$E$13</f>
        <v>0</v>
      </c>
      <c r="BP59" s="52">
        <f t="shared" si="32"/>
        <v>0</v>
      </c>
      <c r="BQ59" s="51" t="e">
        <f t="shared" si="33"/>
        <v>#DIV/0!</v>
      </c>
      <c r="BR59" s="52">
        <f>'FY 2013 by Agency'!BE59*Inflator!$E$14</f>
        <v>0</v>
      </c>
      <c r="BS59" s="52">
        <f t="shared" si="34"/>
        <v>0</v>
      </c>
      <c r="BT59" s="51" t="e">
        <f t="shared" si="35"/>
        <v>#DIV/0!</v>
      </c>
      <c r="BU59" s="52">
        <f>'FY 2013 by Agency'!BL59*Inflator!$E$14</f>
        <v>0</v>
      </c>
      <c r="BV59" s="52">
        <f t="shared" si="70"/>
        <v>0</v>
      </c>
      <c r="BW59" s="39"/>
      <c r="BX59" s="39">
        <f>'FY 2013 by Agency'!BW59*Inflator!E15</f>
        <v>0</v>
      </c>
      <c r="BY59" s="534">
        <v>0</v>
      </c>
      <c r="BZ59" s="39">
        <f t="shared" si="37"/>
        <v>0</v>
      </c>
      <c r="CA59" s="51" t="e">
        <f t="shared" si="38"/>
        <v>#DIV/0!</v>
      </c>
      <c r="CC59" s="39"/>
    </row>
    <row r="60" spans="1:81" ht="18" customHeight="1">
      <c r="A60" s="59" t="s">
        <v>66</v>
      </c>
      <c r="B60" s="322">
        <f>'FY 2013 by Agency'!B60*Inflator!$E$2</f>
        <v>345.49043062200957</v>
      </c>
      <c r="C60" s="322">
        <f>'FY 2013 by Agency'!C60*Inflator!$E$3</f>
        <v>371.57418856259665</v>
      </c>
      <c r="D60" s="322">
        <f t="shared" si="6"/>
        <v>26.083757940587077</v>
      </c>
      <c r="E60" s="351">
        <f t="shared" si="7"/>
        <v>7.5497772524775117E-2</v>
      </c>
      <c r="F60" s="10">
        <f>'FY 2013 by Agency'!F60*Inflator!$E$4</f>
        <v>354.41644461362773</v>
      </c>
      <c r="G60" s="10">
        <f t="shared" si="8"/>
        <v>-17.157743948968914</v>
      </c>
      <c r="H60" s="14">
        <f t="shared" si="9"/>
        <v>-4.6175822963759126E-2</v>
      </c>
      <c r="I60" s="10">
        <f>'FY 2013 by Agency'!I60*Inflator!$E$5</f>
        <v>355.09036816660472</v>
      </c>
      <c r="J60" s="10">
        <f t="shared" si="10"/>
        <v>0.67392355297698714</v>
      </c>
      <c r="K60" s="14">
        <f t="shared" si="11"/>
        <v>1.901501928646891E-3</v>
      </c>
      <c r="L60" s="10">
        <f>'FY 2013 by Agency'!L60*Inflator!$E$6</f>
        <v>415.02290076335873</v>
      </c>
      <c r="M60" s="10">
        <f t="shared" si="12"/>
        <v>59.932532596754015</v>
      </c>
      <c r="N60" s="14">
        <f t="shared" si="13"/>
        <v>0.16878107087555327</v>
      </c>
      <c r="O60" s="10">
        <f>'FY 2013 by Agency'!O60*Inflator!$E$7</f>
        <v>403.07145371348111</v>
      </c>
      <c r="P60" s="52">
        <f t="shared" si="63"/>
        <v>-11.951447049877629</v>
      </c>
      <c r="Q60" s="58">
        <f t="shared" si="45"/>
        <v>-2.8797078493488257E-2</v>
      </c>
      <c r="R60" s="52">
        <f>'FY 2013 by Agency'!R60*Inflator!$E$8</f>
        <v>470.59877800407327</v>
      </c>
      <c r="S60" s="52">
        <f t="shared" si="46"/>
        <v>67.527324290592162</v>
      </c>
      <c r="T60" s="58">
        <f t="shared" si="47"/>
        <v>0.1675318945771665</v>
      </c>
      <c r="U60" s="52">
        <f>'FY 2013 by Agency'!U60*Inflator!$E$9</f>
        <v>584.73541114058355</v>
      </c>
      <c r="V60" s="52">
        <f t="shared" si="64"/>
        <v>114.13663313651028</v>
      </c>
      <c r="W60" s="58">
        <f t="shared" si="65"/>
        <v>0.2425349118427213</v>
      </c>
      <c r="X60" s="52">
        <f>'FY 2013 by Agency'!X60*Inflator!$E$10</f>
        <v>747.79739599872983</v>
      </c>
      <c r="Y60" s="39">
        <f t="shared" si="48"/>
        <v>163.06198485814627</v>
      </c>
      <c r="Z60" s="58">
        <f>Y60/U60</f>
        <v>0.27886456293125456</v>
      </c>
      <c r="AA60" s="52">
        <f>'FY 2013 by Agency'!AA60*Inflator!$E$11</f>
        <v>766.41733035998743</v>
      </c>
      <c r="AB60" s="39">
        <f t="shared" si="50"/>
        <v>18.619934361257606</v>
      </c>
      <c r="AC60" s="58">
        <f>AB60/X60</f>
        <v>2.4899704734047019E-2</v>
      </c>
      <c r="AD60" s="52" t="e">
        <f>'FY 2013 by Agency'!AD60*Inflator!#REF!</f>
        <v>#REF!</v>
      </c>
      <c r="AE60" s="52">
        <f>'FY 2013 by Agency'!AE60*Inflator!$B$8</f>
        <v>0</v>
      </c>
      <c r="AF60" s="52">
        <f>'FY 2013 by Agency'!AF60*Inflator!$E$12</f>
        <v>686.62593984962416</v>
      </c>
      <c r="AG60" s="52">
        <f t="shared" si="52"/>
        <v>-79.791390510363271</v>
      </c>
      <c r="AH60" s="58">
        <f t="shared" si="53"/>
        <v>-0.10410958540418851</v>
      </c>
      <c r="AI60" s="52">
        <f>'FY 2013 by Agency'!AI60*Inflator!$B$8</f>
        <v>0</v>
      </c>
      <c r="AJ60" s="52">
        <f>'FY 2013 by Agency'!AJ60*Inflator!$B$8</f>
        <v>0</v>
      </c>
      <c r="AK60" s="52">
        <f>'FY 2013 by Agency'!AK60</f>
        <v>716</v>
      </c>
      <c r="AL60" s="52">
        <f>'FY 2013 by Agency'!AL60</f>
        <v>0</v>
      </c>
      <c r="AM60" s="52">
        <f>'FY 2013 by Agency'!AM60</f>
        <v>716</v>
      </c>
      <c r="AN60" s="52">
        <f>'FY 2013 by Agency'!AN60</f>
        <v>734</v>
      </c>
      <c r="AO60" s="52">
        <f>'FY 2013 by Agency'!AO60</f>
        <v>734</v>
      </c>
      <c r="AP60" s="52">
        <f>'FY 2013 by Agency'!AP60</f>
        <v>47</v>
      </c>
      <c r="AQ60" s="52">
        <f>'FY 2013 by Agency'!AQ60</f>
        <v>0</v>
      </c>
      <c r="AR60" s="52">
        <f>'FY 2013 by Agency'!AR60</f>
        <v>47</v>
      </c>
      <c r="AS60" s="52">
        <f>'FY 2013 by Agency'!AS60</f>
        <v>1109.6933300000001</v>
      </c>
      <c r="AT60" s="52" t="e">
        <f t="shared" si="54"/>
        <v>#REF!</v>
      </c>
      <c r="AU60" s="58" t="e">
        <f t="shared" si="55"/>
        <v>#REF!</v>
      </c>
      <c r="AV60" s="52">
        <f t="shared" si="56"/>
        <v>423.0673901503759</v>
      </c>
      <c r="AW60" s="58">
        <f t="shared" si="57"/>
        <v>0.61615410312495711</v>
      </c>
      <c r="AX60" s="39">
        <v>1310</v>
      </c>
      <c r="AY60" s="39">
        <v>1310</v>
      </c>
      <c r="AZ60" s="39">
        <f t="shared" si="58"/>
        <v>576</v>
      </c>
      <c r="BA60" s="39">
        <f t="shared" si="59"/>
        <v>999.0673901503759</v>
      </c>
      <c r="BB60" s="39">
        <f t="shared" si="60"/>
        <v>1685.6933300000001</v>
      </c>
      <c r="BC60" s="58">
        <f t="shared" si="61"/>
        <v>1.4550388095870344</v>
      </c>
      <c r="BD60" s="291">
        <v>0</v>
      </c>
      <c r="BE60" s="51">
        <f t="shared" si="62"/>
        <v>0</v>
      </c>
      <c r="BF60" s="50">
        <v>95</v>
      </c>
      <c r="BI60" s="219">
        <v>1254</v>
      </c>
      <c r="BJ60" s="39">
        <f t="shared" si="66"/>
        <v>-56</v>
      </c>
      <c r="BK60" s="65">
        <f t="shared" si="67"/>
        <v>1301</v>
      </c>
      <c r="BL60" s="568">
        <f>'FY 2013 by Agency'!AS60*Inflator!$E$13</f>
        <v>1150.667664125725</v>
      </c>
      <c r="BM60" s="256">
        <f t="shared" si="68"/>
        <v>464.04172427610081</v>
      </c>
      <c r="BN60" s="51">
        <f t="shared" si="69"/>
        <v>0.67582900287415471</v>
      </c>
      <c r="BO60" s="52">
        <f>'FY 2013 by Agency'!AX60*Inflator!$E$13</f>
        <v>1300.3027158986881</v>
      </c>
      <c r="BP60" s="52">
        <f t="shared" si="32"/>
        <v>613.67677604906396</v>
      </c>
      <c r="BQ60" s="51">
        <f t="shared" si="33"/>
        <v>0.89375705232380742</v>
      </c>
      <c r="BR60" s="52">
        <f>'FY 2013 by Agency'!BE60*Inflator!$E$14</f>
        <v>1654.8635413556287</v>
      </c>
      <c r="BS60" s="52">
        <f t="shared" si="34"/>
        <v>354.56082545694062</v>
      </c>
      <c r="BT60" s="51">
        <f t="shared" si="35"/>
        <v>0.27267560170547694</v>
      </c>
      <c r="BU60" s="52">
        <f>'FY 2013 by Agency'!BL60*Inflator!$E$14</f>
        <v>1696.4634219169902</v>
      </c>
      <c r="BV60" s="52">
        <f t="shared" si="70"/>
        <v>545.79575779126526</v>
      </c>
      <c r="BW60" s="487">
        <v>1663</v>
      </c>
      <c r="BX60" s="487">
        <f>'FY 2013 by Agency'!BW60*Inflator!E15</f>
        <v>1732</v>
      </c>
      <c r="BY60" s="595">
        <v>1663</v>
      </c>
      <c r="BZ60" s="39">
        <f t="shared" si="37"/>
        <v>8.1364586443712597</v>
      </c>
      <c r="CA60" s="51">
        <f t="shared" si="38"/>
        <v>4.9166946041400168E-3</v>
      </c>
      <c r="CC60" s="39"/>
    </row>
    <row r="61" spans="1:81" ht="18" customHeight="1">
      <c r="A61" s="53" t="s">
        <v>67</v>
      </c>
      <c r="B61" s="322">
        <f>'FY 2013 by Agency'!B61*Inflator!$E$2</f>
        <v>35631.57974481659</v>
      </c>
      <c r="C61" s="322">
        <f>'FY 2013 by Agency'!C61*Inflator!$E$3</f>
        <v>32828.51391035549</v>
      </c>
      <c r="D61" s="322">
        <f t="shared" si="6"/>
        <v>-2803.0658344611002</v>
      </c>
      <c r="E61" s="351">
        <f t="shared" si="7"/>
        <v>-7.8668020181419787E-2</v>
      </c>
      <c r="F61" s="10">
        <f>'FY 2013 by Agency'!F61*Inflator!$E$4</f>
        <v>35111.804339550821</v>
      </c>
      <c r="G61" s="10">
        <f t="shared" si="8"/>
        <v>2283.2904291953309</v>
      </c>
      <c r="H61" s="14">
        <f t="shared" si="9"/>
        <v>6.9552049642889427E-2</v>
      </c>
      <c r="I61" s="10">
        <f>'FY 2013 by Agency'!I61*Inflator!$E$5</f>
        <v>37537.222015619198</v>
      </c>
      <c r="J61" s="10">
        <f t="shared" si="10"/>
        <v>2425.4176760683767</v>
      </c>
      <c r="K61" s="14">
        <f t="shared" si="11"/>
        <v>6.9076987688050123E-2</v>
      </c>
      <c r="L61" s="10">
        <f>'FY 2013 by Agency'!L61*Inflator!$E$6</f>
        <v>37989.417666303161</v>
      </c>
      <c r="M61" s="10">
        <f t="shared" si="12"/>
        <v>452.19565068396332</v>
      </c>
      <c r="N61" s="14">
        <f t="shared" si="13"/>
        <v>1.2046593391908575E-2</v>
      </c>
      <c r="O61" s="10">
        <f>'FY 2013 by Agency'!O61*Inflator!$E$7</f>
        <v>41792.649067229846</v>
      </c>
      <c r="P61" s="69">
        <f t="shared" si="63"/>
        <v>3803.2314009266847</v>
      </c>
      <c r="Q61" s="58">
        <f t="shared" si="45"/>
        <v>0.10011291655834392</v>
      </c>
      <c r="R61" s="52">
        <f>'FY 2013 by Agency'!R61*Inflator!$E$8</f>
        <v>47885.732518669378</v>
      </c>
      <c r="S61" s="52">
        <f t="shared" si="46"/>
        <v>6093.0834514395319</v>
      </c>
      <c r="T61" s="58">
        <f t="shared" si="47"/>
        <v>0.14579318582169506</v>
      </c>
      <c r="U61" s="52">
        <f>'FY 2013 by Agency'!U61*Inflator!$E$9</f>
        <v>46970.364721485406</v>
      </c>
      <c r="V61" s="52">
        <f t="shared" si="64"/>
        <v>-915.36779718397156</v>
      </c>
      <c r="W61" s="58">
        <f t="shared" si="65"/>
        <v>-1.9115668677034313E-2</v>
      </c>
      <c r="X61" s="52">
        <f>'FY 2013 by Agency'!X61*Inflator!$E$10</f>
        <v>40351.924420450945</v>
      </c>
      <c r="Y61" s="39">
        <f t="shared" si="48"/>
        <v>-6618.4403010344613</v>
      </c>
      <c r="Z61" s="58">
        <f>Y61/U61</f>
        <v>-0.14090672576802502</v>
      </c>
      <c r="AA61" s="52">
        <f>'FY 2013 by Agency'!AA61*Inflator!$E$11</f>
        <v>39985.767441860473</v>
      </c>
      <c r="AB61" s="39">
        <f t="shared" si="50"/>
        <v>-366.15697859047214</v>
      </c>
      <c r="AC61" s="58">
        <f>AB61/X61</f>
        <v>-9.0740896214827962E-3</v>
      </c>
      <c r="AD61" s="52" t="e">
        <f>'FY 2013 by Agency'!AD61*Inflator!#REF!</f>
        <v>#REF!</v>
      </c>
      <c r="AE61" s="52">
        <f>'FY 2013 by Agency'!AE61*Inflator!$B$8</f>
        <v>0</v>
      </c>
      <c r="AF61" s="52">
        <f>'FY 2013 by Agency'!AF61*Inflator!$E$12</f>
        <v>34332.361528822061</v>
      </c>
      <c r="AG61" s="52">
        <f t="shared" si="52"/>
        <v>-5653.4059130384121</v>
      </c>
      <c r="AH61" s="58">
        <f t="shared" si="53"/>
        <v>-0.14138545474357833</v>
      </c>
      <c r="AI61" s="52">
        <f>'FY 2013 by Agency'!AI61*Inflator!$B$8</f>
        <v>0</v>
      </c>
      <c r="AJ61" s="52">
        <f>'FY 2013 by Agency'!AJ61*Inflator!$B$8</f>
        <v>0</v>
      </c>
      <c r="AK61" s="52">
        <f>'FY 2013 by Agency'!AK61</f>
        <v>13821</v>
      </c>
      <c r="AL61" s="52">
        <f>'FY 2013 by Agency'!AL61</f>
        <v>0</v>
      </c>
      <c r="AM61" s="52">
        <f>'FY 2013 by Agency'!AM61</f>
        <v>13821</v>
      </c>
      <c r="AN61" s="52">
        <f>'FY 2013 by Agency'!AN61</f>
        <v>8061</v>
      </c>
      <c r="AO61" s="52">
        <f>'FY 2013 by Agency'!AO61</f>
        <v>25592</v>
      </c>
      <c r="AP61" s="52">
        <f>'FY 2013 by Agency'!AP61</f>
        <v>6036</v>
      </c>
      <c r="AQ61" s="52">
        <f>'FY 2013 by Agency'!AQ61</f>
        <v>402</v>
      </c>
      <c r="AR61" s="52">
        <f>'FY 2013 by Agency'!AR61</f>
        <v>6438</v>
      </c>
      <c r="AS61" s="52">
        <f>'FY 2013 by Agency'!AS61</f>
        <v>28136.326290000001</v>
      </c>
      <c r="AT61" s="52" t="e">
        <f t="shared" si="54"/>
        <v>#REF!</v>
      </c>
      <c r="AU61" s="58" t="e">
        <f t="shared" si="55"/>
        <v>#REF!</v>
      </c>
      <c r="AV61" s="52">
        <f t="shared" si="56"/>
        <v>-6196.0352388220599</v>
      </c>
      <c r="AW61" s="58">
        <f t="shared" si="57"/>
        <v>-0.18047215405268527</v>
      </c>
      <c r="AX61" s="39">
        <f>8203+17531</f>
        <v>25734</v>
      </c>
      <c r="AY61" s="39">
        <f>8203+17531</f>
        <v>25734</v>
      </c>
      <c r="AZ61" s="39">
        <f t="shared" si="58"/>
        <v>142</v>
      </c>
      <c r="BA61" s="39">
        <f t="shared" si="59"/>
        <v>-6054.0352388220599</v>
      </c>
      <c r="BB61" s="39">
        <f t="shared" si="60"/>
        <v>28278.326290000001</v>
      </c>
      <c r="BC61" s="58">
        <f t="shared" si="61"/>
        <v>-0.17633611465205179</v>
      </c>
      <c r="BD61" s="291">
        <v>70.314999999999998</v>
      </c>
      <c r="BE61" s="51">
        <f t="shared" si="62"/>
        <v>2.7323773995492342E-3</v>
      </c>
      <c r="BF61" s="50">
        <v>210</v>
      </c>
      <c r="BH61" s="50">
        <v>562</v>
      </c>
      <c r="BI61" s="219">
        <v>24715</v>
      </c>
      <c r="BJ61" s="39">
        <f t="shared" si="66"/>
        <v>-1019</v>
      </c>
      <c r="BK61" s="65">
        <f t="shared" si="67"/>
        <v>31153</v>
      </c>
      <c r="BL61" s="568">
        <f>'FY 2013 by Agency'!AS61*Inflator!$E$13</f>
        <v>29175.232448404033</v>
      </c>
      <c r="BM61" s="256">
        <f t="shared" si="68"/>
        <v>-5157.129080418028</v>
      </c>
      <c r="BN61" s="51">
        <f t="shared" si="69"/>
        <v>-0.15021189486451761</v>
      </c>
      <c r="BO61" s="52">
        <f>'FY 2013 by Agency'!AX61*Inflator!$E$13</f>
        <v>25627.577052181878</v>
      </c>
      <c r="BP61" s="52">
        <f t="shared" si="32"/>
        <v>-8704.7844766401831</v>
      </c>
      <c r="BQ61" s="51">
        <f t="shared" si="33"/>
        <v>-0.253544588516945</v>
      </c>
      <c r="BR61" s="52">
        <f>'FY 2013 by Agency'!BE61*Inflator!$E$14</f>
        <v>26411.865631531804</v>
      </c>
      <c r="BS61" s="52">
        <f t="shared" si="34"/>
        <v>784.28857934992629</v>
      </c>
      <c r="BT61" s="51">
        <f t="shared" si="35"/>
        <v>3.0603305874487795E-2</v>
      </c>
      <c r="BU61" s="52">
        <f>'FY 2013 by Agency'!BL61*Inflator!$E$14</f>
        <v>33549.79635712153</v>
      </c>
      <c r="BV61" s="52">
        <f t="shared" si="70"/>
        <v>4374.5639087174968</v>
      </c>
      <c r="BW61" s="487">
        <v>33149</v>
      </c>
      <c r="BX61" s="39">
        <f>'FY 2013 by Agency'!BW61*Inflator!E15</f>
        <v>40091</v>
      </c>
      <c r="BY61" s="595">
        <v>32952</v>
      </c>
      <c r="BZ61" s="39">
        <f t="shared" si="37"/>
        <v>6737.134368468196</v>
      </c>
      <c r="CA61" s="51">
        <f t="shared" si="38"/>
        <v>0.25507983655743988</v>
      </c>
      <c r="CC61" s="39"/>
    </row>
    <row r="62" spans="1:81" ht="18" customHeight="1">
      <c r="A62" s="53" t="s">
        <v>166</v>
      </c>
      <c r="B62" s="324" t="s">
        <v>78</v>
      </c>
      <c r="C62" s="324" t="s">
        <v>78</v>
      </c>
      <c r="D62" s="324" t="s">
        <v>78</v>
      </c>
      <c r="E62" s="324" t="s">
        <v>78</v>
      </c>
      <c r="F62" s="324" t="s">
        <v>78</v>
      </c>
      <c r="G62" s="324" t="s">
        <v>78</v>
      </c>
      <c r="H62" s="324" t="s">
        <v>78</v>
      </c>
      <c r="I62" s="324" t="s">
        <v>78</v>
      </c>
      <c r="J62" s="324" t="s">
        <v>78</v>
      </c>
      <c r="K62" s="324" t="s">
        <v>78</v>
      </c>
      <c r="L62" s="10">
        <f>'FY 2013 by Agency'!L62*Inflator!$E$6</f>
        <v>0</v>
      </c>
      <c r="M62" s="324" t="s">
        <v>78</v>
      </c>
      <c r="N62" s="324" t="s">
        <v>78</v>
      </c>
      <c r="O62" s="10">
        <f>'FY 2013 by Agency'!O62*Inflator!$E$7</f>
        <v>0</v>
      </c>
      <c r="P62" s="69">
        <f t="shared" si="63"/>
        <v>0</v>
      </c>
      <c r="Q62" s="60" t="s">
        <v>78</v>
      </c>
      <c r="R62" s="52">
        <f>'FY 2013 by Agency'!R62*Inflator!$E$8</f>
        <v>0</v>
      </c>
      <c r="S62" s="52">
        <f t="shared" si="46"/>
        <v>0</v>
      </c>
      <c r="T62" s="60" t="s">
        <v>78</v>
      </c>
      <c r="U62" s="52">
        <f>'FY 2013 by Agency'!U62*Inflator!$E$9</f>
        <v>0</v>
      </c>
      <c r="V62" s="52">
        <f t="shared" si="64"/>
        <v>0</v>
      </c>
      <c r="W62" s="60" t="s">
        <v>78</v>
      </c>
      <c r="X62" s="52">
        <f>'FY 2013 by Agency'!X62*Inflator!$E$10</f>
        <v>1643.4277548428074</v>
      </c>
      <c r="Y62" s="39">
        <f t="shared" si="48"/>
        <v>1643.4277548428074</v>
      </c>
      <c r="Z62" s="61" t="s">
        <v>127</v>
      </c>
      <c r="AA62" s="52">
        <f>'FY 2013 by Agency'!AA62*Inflator!$E$11</f>
        <v>2738.7511946479776</v>
      </c>
      <c r="AB62" s="39">
        <f t="shared" si="50"/>
        <v>1095.3234398051702</v>
      </c>
      <c r="AC62" s="58">
        <f>AB62/X62</f>
        <v>0.66648712520371001</v>
      </c>
      <c r="AD62" s="52" t="e">
        <f>'FY 2013 by Agency'!AD62*Inflator!#REF!</f>
        <v>#REF!</v>
      </c>
      <c r="AE62" s="52">
        <f>'FY 2013 by Agency'!AE62*Inflator!$B$8</f>
        <v>0</v>
      </c>
      <c r="AF62" s="52">
        <f>'FY 2013 by Agency'!AF62*Inflator!$E$12</f>
        <v>2468.6597744360906</v>
      </c>
      <c r="AG62" s="52">
        <f t="shared" si="52"/>
        <v>-270.091420211887</v>
      </c>
      <c r="AH62" s="58">
        <f t="shared" si="53"/>
        <v>-9.8618458200838102E-2</v>
      </c>
      <c r="AI62" s="52">
        <f>'FY 2013 by Agency'!AI62*Inflator!$B$8</f>
        <v>0</v>
      </c>
      <c r="AJ62" s="52">
        <f>'FY 2013 by Agency'!AJ62*Inflator!$B$8</f>
        <v>0</v>
      </c>
      <c r="AK62" s="52">
        <f>'FY 2013 by Agency'!AK62</f>
        <v>815</v>
      </c>
      <c r="AL62" s="52">
        <f>'FY 2013 by Agency'!AL62</f>
        <v>0</v>
      </c>
      <c r="AM62" s="52">
        <f>'FY 2013 by Agency'!AM62</f>
        <v>815</v>
      </c>
      <c r="AN62" s="52">
        <f>'FY 2013 by Agency'!AN62</f>
        <v>0</v>
      </c>
      <c r="AO62" s="52">
        <f>'FY 2013 by Agency'!AO62</f>
        <v>1570</v>
      </c>
      <c r="AP62" s="52">
        <f>'FY 2013 by Agency'!AP62</f>
        <v>0</v>
      </c>
      <c r="AQ62" s="52">
        <f>'FY 2013 by Agency'!AQ62</f>
        <v>0</v>
      </c>
      <c r="AR62" s="52">
        <f>'FY 2013 by Agency'!AR62</f>
        <v>0</v>
      </c>
      <c r="AS62" s="52">
        <f>'FY 2013 by Agency'!AS62</f>
        <v>1755.4464200000002</v>
      </c>
      <c r="AT62" s="52" t="e">
        <f t="shared" si="54"/>
        <v>#REF!</v>
      </c>
      <c r="AU62" s="58" t="e">
        <f t="shared" si="55"/>
        <v>#REF!</v>
      </c>
      <c r="AV62" s="52">
        <f t="shared" si="56"/>
        <v>-713.21335443609041</v>
      </c>
      <c r="AW62" s="58">
        <f t="shared" si="57"/>
        <v>-0.28890710733884251</v>
      </c>
      <c r="AX62" s="39">
        <f>654+1570</f>
        <v>2224</v>
      </c>
      <c r="AY62" s="39">
        <f>654+1570</f>
        <v>2224</v>
      </c>
      <c r="AZ62" s="39">
        <f t="shared" si="58"/>
        <v>654</v>
      </c>
      <c r="BA62" s="39">
        <f t="shared" si="59"/>
        <v>-59.213354436090412</v>
      </c>
      <c r="BB62" s="39">
        <f t="shared" si="60"/>
        <v>2409.4464200000002</v>
      </c>
      <c r="BC62" s="58">
        <f t="shared" si="61"/>
        <v>-2.3986032846351368E-2</v>
      </c>
      <c r="BD62" s="291">
        <v>0</v>
      </c>
      <c r="BE62" s="51">
        <f t="shared" si="62"/>
        <v>0</v>
      </c>
      <c r="BH62" s="50">
        <v>386</v>
      </c>
      <c r="BI62" s="219">
        <v>1816</v>
      </c>
      <c r="BJ62" s="39">
        <f t="shared" si="66"/>
        <v>-408</v>
      </c>
      <c r="BK62" s="65">
        <f t="shared" si="67"/>
        <v>1816</v>
      </c>
      <c r="BL62" s="568">
        <f>'FY 2013 by Agency'!AS62*Inflator!$E$13</f>
        <v>1820.2645514678065</v>
      </c>
      <c r="BM62" s="256">
        <f t="shared" si="68"/>
        <v>-648.39522296828409</v>
      </c>
      <c r="BN62" s="51">
        <f t="shared" si="69"/>
        <v>-0.26265070208647739</v>
      </c>
      <c r="BO62" s="52">
        <f>'FY 2013 by Agency'!AX62*Inflator!$E$13</f>
        <v>1883.0540128166008</v>
      </c>
      <c r="BP62" s="52">
        <f t="shared" si="32"/>
        <v>-585.60576161948984</v>
      </c>
      <c r="BQ62" s="51">
        <f t="shared" si="33"/>
        <v>-0.2372160666624295</v>
      </c>
      <c r="BR62" s="52">
        <f>'FY 2013 by Agency'!BE62*Inflator!$E$14</f>
        <v>1952.1504926843836</v>
      </c>
      <c r="BS62" s="52">
        <f t="shared" si="34"/>
        <v>69.096479867782818</v>
      </c>
      <c r="BT62" s="51">
        <f t="shared" si="35"/>
        <v>3.6693838518434704E-2</v>
      </c>
      <c r="BU62" s="52">
        <f>'FY 2013 by Agency'!BL62*Inflator!$E$14</f>
        <v>1978.530904747686</v>
      </c>
      <c r="BV62" s="52">
        <f t="shared" si="70"/>
        <v>158.26635327987947</v>
      </c>
      <c r="BW62" s="39">
        <v>1961</v>
      </c>
      <c r="BX62" s="39">
        <f>'FY 2013 by Agency'!BW62*Inflator!E15</f>
        <v>2116</v>
      </c>
      <c r="BY62" s="534">
        <v>2064</v>
      </c>
      <c r="BZ62" s="39">
        <f t="shared" si="37"/>
        <v>8.8495073156163926</v>
      </c>
      <c r="CA62" s="51">
        <f t="shared" si="38"/>
        <v>4.5332095802959943E-3</v>
      </c>
      <c r="CC62" s="39"/>
    </row>
    <row r="63" spans="1:81" ht="18" customHeight="1">
      <c r="A63" s="63" t="s">
        <v>22</v>
      </c>
      <c r="B63" s="325" t="s">
        <v>78</v>
      </c>
      <c r="C63" s="325" t="s">
        <v>78</v>
      </c>
      <c r="D63" s="325" t="s">
        <v>78</v>
      </c>
      <c r="E63" s="325" t="s">
        <v>78</v>
      </c>
      <c r="F63" s="10">
        <f>'FY 2013 by Agency'!F63*Inflator!$E$4</f>
        <v>2245.4998096688237</v>
      </c>
      <c r="G63" s="324" t="s">
        <v>78</v>
      </c>
      <c r="H63" s="324" t="s">
        <v>78</v>
      </c>
      <c r="I63" s="10">
        <f>'FY 2013 by Agency'!I63*Inflator!$E$5</f>
        <v>2136.8605429527711</v>
      </c>
      <c r="J63" s="10">
        <f t="shared" si="10"/>
        <v>-108.63926671605259</v>
      </c>
      <c r="K63" s="14">
        <f t="shared" si="11"/>
        <v>-4.8380884401889659E-2</v>
      </c>
      <c r="L63" s="10">
        <f>'FY 2013 by Agency'!L63*Inflator!$E$6</f>
        <v>2912.5714285714284</v>
      </c>
      <c r="M63" s="10">
        <f t="shared" si="12"/>
        <v>775.71088561865736</v>
      </c>
      <c r="N63" s="14">
        <f t="shared" si="13"/>
        <v>0.36301427726619878</v>
      </c>
      <c r="O63" s="10">
        <f>'FY 2013 by Agency'!O63*Inflator!$E$7</f>
        <v>4945.6986976416747</v>
      </c>
      <c r="P63" s="69">
        <f t="shared" si="63"/>
        <v>2033.1272690702463</v>
      </c>
      <c r="Q63" s="58">
        <f t="shared" si="45"/>
        <v>0.69805232899213876</v>
      </c>
      <c r="R63" s="52">
        <f>'FY 2013 by Agency'!R63*Inflator!$E$8</f>
        <v>9913.7169042769856</v>
      </c>
      <c r="S63" s="69">
        <f t="shared" si="46"/>
        <v>4968.0182066353109</v>
      </c>
      <c r="T63" s="58">
        <f t="shared" si="47"/>
        <v>1.0045129132116923</v>
      </c>
      <c r="U63" s="52">
        <f>'FY 2013 by Agency'!U63*Inflator!$E$9</f>
        <v>11302.631299734747</v>
      </c>
      <c r="V63" s="52">
        <f t="shared" si="64"/>
        <v>1388.9143954577612</v>
      </c>
      <c r="W63" s="58">
        <f t="shared" si="65"/>
        <v>0.14010026802949702</v>
      </c>
      <c r="X63" s="52">
        <f>'FY 2013 by Agency'!X63*Inflator!$E$10</f>
        <v>10684.978088281996</v>
      </c>
      <c r="Y63" s="39">
        <f t="shared" si="48"/>
        <v>-617.65321145275084</v>
      </c>
      <c r="Z63" s="58">
        <f>Y63/U63</f>
        <v>-5.4646851257303786E-2</v>
      </c>
      <c r="AA63" s="52">
        <f>'FY 2013 by Agency'!AA63*Inflator!$E$11</f>
        <v>14751.368588722526</v>
      </c>
      <c r="AB63" s="39">
        <f t="shared" si="50"/>
        <v>4066.3905004405296</v>
      </c>
      <c r="AC63" s="58">
        <f>AB63/X63</f>
        <v>0.38057078515678566</v>
      </c>
      <c r="AD63" s="52" t="e">
        <f>'FY 2013 by Agency'!AD63*Inflator!#REF!</f>
        <v>#REF!</v>
      </c>
      <c r="AE63" s="52">
        <f>'FY 2013 by Agency'!AE63*Inflator!$B$8</f>
        <v>0</v>
      </c>
      <c r="AF63" s="52">
        <f>'FY 2013 by Agency'!AF63*Inflator!$E$12</f>
        <v>5547.2988721804513</v>
      </c>
      <c r="AG63" s="52">
        <f t="shared" si="52"/>
        <v>-9204.0697165420752</v>
      </c>
      <c r="AH63" s="58">
        <f t="shared" si="53"/>
        <v>-0.62394683321645283</v>
      </c>
      <c r="AI63" s="52">
        <f>'FY 2013 by Agency'!AI63*Inflator!$B$8</f>
        <v>0</v>
      </c>
      <c r="AJ63" s="52">
        <f>'FY 2013 by Agency'!AJ63*Inflator!$B$8</f>
        <v>0</v>
      </c>
      <c r="AK63" s="52">
        <f>'FY 2013 by Agency'!AK63</f>
        <v>3485</v>
      </c>
      <c r="AL63" s="52">
        <f>'FY 2013 by Agency'!AL63</f>
        <v>2000</v>
      </c>
      <c r="AM63" s="52">
        <f>'FY 2013 by Agency'!AM63</f>
        <v>5485</v>
      </c>
      <c r="AN63" s="52">
        <f>'FY 2013 by Agency'!AN63</f>
        <v>4940</v>
      </c>
      <c r="AO63" s="52">
        <f>'FY 2013 by Agency'!AO63</f>
        <v>5111</v>
      </c>
      <c r="AP63" s="52">
        <f>'FY 2013 by Agency'!AP63</f>
        <v>210</v>
      </c>
      <c r="AQ63" s="52">
        <f>'FY 2013 by Agency'!AQ63</f>
        <v>3</v>
      </c>
      <c r="AR63" s="52">
        <f>'FY 2013 by Agency'!AR63</f>
        <v>213</v>
      </c>
      <c r="AS63" s="52">
        <f>'FY 2013 by Agency'!AS63</f>
        <v>4936.61481</v>
      </c>
      <c r="AT63" s="52" t="e">
        <f t="shared" si="54"/>
        <v>#REF!</v>
      </c>
      <c r="AU63" s="58" t="e">
        <f t="shared" si="55"/>
        <v>#REF!</v>
      </c>
      <c r="AV63" s="52">
        <f t="shared" si="56"/>
        <v>-610.68406218045129</v>
      </c>
      <c r="AW63" s="58">
        <f t="shared" si="57"/>
        <v>-0.11008674244018378</v>
      </c>
      <c r="AX63" s="39">
        <f>4940+170</f>
        <v>5110</v>
      </c>
      <c r="AY63" s="39">
        <f>4940+170</f>
        <v>5110</v>
      </c>
      <c r="AZ63" s="39">
        <f t="shared" si="58"/>
        <v>-1</v>
      </c>
      <c r="BA63" s="39">
        <f t="shared" si="59"/>
        <v>-611.68406218045129</v>
      </c>
      <c r="BB63" s="39">
        <f t="shared" si="60"/>
        <v>4935.61481</v>
      </c>
      <c r="BC63" s="58">
        <f t="shared" si="61"/>
        <v>-0.11026701035490083</v>
      </c>
      <c r="BD63" s="291">
        <v>444.42099999999999</v>
      </c>
      <c r="BE63" s="51">
        <f t="shared" si="62"/>
        <v>8.6970841487279849E-2</v>
      </c>
      <c r="BF63" s="50">
        <v>570</v>
      </c>
      <c r="BI63" s="219">
        <v>4532</v>
      </c>
      <c r="BJ63" s="39">
        <f t="shared" si="66"/>
        <v>-578</v>
      </c>
      <c r="BK63" s="65">
        <f t="shared" si="67"/>
        <v>4745</v>
      </c>
      <c r="BL63" s="568">
        <f>'FY 2013 by Agency'!AS63*Inflator!$E$13</f>
        <v>5118.8944535794944</v>
      </c>
      <c r="BM63" s="256">
        <f t="shared" si="68"/>
        <v>-428.40441860095689</v>
      </c>
      <c r="BN63" s="51">
        <f t="shared" si="69"/>
        <v>-7.722757119674821E-2</v>
      </c>
      <c r="BO63" s="52">
        <f>'FY 2013 by Agency'!AX63*Inflator!$E$13</f>
        <v>4699.3396399145568</v>
      </c>
      <c r="BP63" s="52">
        <f t="shared" si="32"/>
        <v>-847.95923226589457</v>
      </c>
      <c r="BQ63" s="51">
        <f t="shared" si="33"/>
        <v>-0.15285984256561089</v>
      </c>
      <c r="BR63" s="52">
        <f>'FY 2013 by Agency'!BE63*Inflator!$E$14</f>
        <v>4078.8175574798452</v>
      </c>
      <c r="BS63" s="52">
        <f t="shared" si="34"/>
        <v>-620.52208243471159</v>
      </c>
      <c r="BT63" s="51">
        <f t="shared" si="35"/>
        <v>-0.1320445275255725</v>
      </c>
      <c r="BU63" s="52">
        <f>'FY 2013 by Agency'!BL63*Inflator!$E$14</f>
        <v>4520.18214392356</v>
      </c>
      <c r="BV63" s="52">
        <f t="shared" si="70"/>
        <v>-598.7123096559344</v>
      </c>
      <c r="BW63" s="487">
        <v>4390</v>
      </c>
      <c r="BX63" s="39">
        <f>'FY 2013 by Agency'!BW63*Inflator!E15</f>
        <v>5223</v>
      </c>
      <c r="BY63" s="595">
        <v>11190</v>
      </c>
      <c r="BZ63" s="39">
        <f t="shared" si="37"/>
        <v>311.18244252015484</v>
      </c>
      <c r="CA63" s="51">
        <f t="shared" si="38"/>
        <v>7.6292317107809871E-2</v>
      </c>
      <c r="CC63" s="39"/>
    </row>
    <row r="64" spans="1:81" ht="18" customHeight="1">
      <c r="A64" s="63" t="s">
        <v>108</v>
      </c>
      <c r="B64" s="322">
        <f>'FY 2013 by Agency'!B64*Inflator!$E$2</f>
        <v>0</v>
      </c>
      <c r="C64" s="322">
        <f>'FY 2013 by Agency'!C64*Inflator!$E$3</f>
        <v>0</v>
      </c>
      <c r="D64" s="322">
        <f t="shared" si="6"/>
        <v>0</v>
      </c>
      <c r="E64" s="351" t="e">
        <f t="shared" si="7"/>
        <v>#DIV/0!</v>
      </c>
      <c r="F64" s="10">
        <f>'FY 2013 by Agency'!F64*Inflator!$E$4</f>
        <v>2555.9375713741911</v>
      </c>
      <c r="G64" s="10">
        <f t="shared" si="8"/>
        <v>2555.9375713741911</v>
      </c>
      <c r="H64" s="14" t="e">
        <f t="shared" si="9"/>
        <v>#DIV/0!</v>
      </c>
      <c r="I64" s="10">
        <f>'FY 2013 by Agency'!I64*Inflator!$E$5</f>
        <v>3291.8519895872078</v>
      </c>
      <c r="J64" s="10">
        <f t="shared" si="10"/>
        <v>735.91441821301669</v>
      </c>
      <c r="K64" s="14">
        <f t="shared" si="11"/>
        <v>0.28792347139267366</v>
      </c>
      <c r="L64" s="10">
        <f>'FY 2013 by Agency'!L64*Inflator!$E$6</f>
        <v>3699.3856779352959</v>
      </c>
      <c r="M64" s="10">
        <f t="shared" si="12"/>
        <v>407.53368834808816</v>
      </c>
      <c r="N64" s="14">
        <f t="shared" si="13"/>
        <v>0.12380073272953931</v>
      </c>
      <c r="O64" s="10">
        <f>'FY 2013 by Agency'!O64*Inflator!$E$7</f>
        <v>3713.759239704329</v>
      </c>
      <c r="P64" s="69">
        <f t="shared" si="63"/>
        <v>14.373561769033131</v>
      </c>
      <c r="Q64" s="58">
        <f t="shared" si="45"/>
        <v>3.8853915272373859E-3</v>
      </c>
      <c r="R64" s="52">
        <f>'FY 2013 by Agency'!R64*Inflator!$E$8</f>
        <v>3642.5268160217242</v>
      </c>
      <c r="S64" s="69">
        <f t="shared" si="46"/>
        <v>-71.232423682604804</v>
      </c>
      <c r="T64" s="58">
        <f t="shared" si="47"/>
        <v>-1.9180678952218769E-2</v>
      </c>
      <c r="U64" s="52">
        <f>'FY 2013 by Agency'!U64*Inflator!$E$9</f>
        <v>3969.2155172413791</v>
      </c>
      <c r="V64" s="52">
        <f t="shared" si="64"/>
        <v>326.68870121965483</v>
      </c>
      <c r="W64" s="58">
        <f t="shared" si="65"/>
        <v>8.9687383983752242E-2</v>
      </c>
      <c r="X64" s="52">
        <f>'FY 2013 by Agency'!X64*Inflator!$E$10</f>
        <v>5693.1876786281364</v>
      </c>
      <c r="Y64" s="39">
        <f t="shared" si="48"/>
        <v>1723.9721613867573</v>
      </c>
      <c r="Z64" s="58">
        <f>Y64/U64</f>
        <v>0.43433574062638075</v>
      </c>
      <c r="AA64" s="52">
        <f>'FY 2013 by Agency'!AA64*Inflator!$E$11</f>
        <v>6972.4491876393768</v>
      </c>
      <c r="AB64" s="39">
        <f t="shared" si="50"/>
        <v>1279.2615090112404</v>
      </c>
      <c r="AC64" s="58">
        <f>AB64/X64</f>
        <v>0.22470039303525977</v>
      </c>
      <c r="AD64" s="52" t="e">
        <f>'FY 2013 by Agency'!AD64*Inflator!#REF!</f>
        <v>#REF!</v>
      </c>
      <c r="AE64" s="52">
        <f>'FY 2013 by Agency'!AE64*Inflator!$B$8</f>
        <v>0</v>
      </c>
      <c r="AF64" s="52">
        <f>'FY 2013 by Agency'!AF64*Inflator!$E$12</f>
        <v>5589.8803258145372</v>
      </c>
      <c r="AG64" s="52">
        <f t="shared" si="52"/>
        <v>-1382.5688618248396</v>
      </c>
      <c r="AH64" s="58">
        <f t="shared" si="53"/>
        <v>-0.19829027428064028</v>
      </c>
      <c r="AI64" s="52">
        <f>'FY 2013 by Agency'!AI64*Inflator!$B$8</f>
        <v>0</v>
      </c>
      <c r="AJ64" s="52">
        <f>'FY 2013 by Agency'!AJ64*Inflator!$B$8</f>
        <v>0</v>
      </c>
      <c r="AK64" s="52">
        <f>'FY 2013 by Agency'!AK64</f>
        <v>409</v>
      </c>
      <c r="AL64" s="52">
        <f>'FY 2013 by Agency'!AL64</f>
        <v>0</v>
      </c>
      <c r="AM64" s="52">
        <f>'FY 2013 by Agency'!AM64</f>
        <v>409</v>
      </c>
      <c r="AN64" s="52">
        <f>'FY 2013 by Agency'!AN64</f>
        <v>400</v>
      </c>
      <c r="AO64" s="52">
        <f>'FY 2013 by Agency'!AO64</f>
        <v>5194</v>
      </c>
      <c r="AP64" s="52">
        <f>'FY 2013 by Agency'!AP64</f>
        <v>0</v>
      </c>
      <c r="AQ64" s="52">
        <f>'FY 2013 by Agency'!AQ64</f>
        <v>0</v>
      </c>
      <c r="AR64" s="52">
        <f>'FY 2013 by Agency'!AR64</f>
        <v>0</v>
      </c>
      <c r="AS64" s="52">
        <f>'FY 2013 by Agency'!AS64</f>
        <v>4525.5811000000003</v>
      </c>
      <c r="AT64" s="52" t="e">
        <f t="shared" si="54"/>
        <v>#REF!</v>
      </c>
      <c r="AU64" s="58" t="e">
        <f t="shared" si="55"/>
        <v>#REF!</v>
      </c>
      <c r="AV64" s="52">
        <f t="shared" si="56"/>
        <v>-1064.2992258145368</v>
      </c>
      <c r="AW64" s="58">
        <f t="shared" si="57"/>
        <v>-0.19039749758139071</v>
      </c>
      <c r="AX64" s="39">
        <f>400+5139</f>
        <v>5539</v>
      </c>
      <c r="AY64" s="39">
        <f>400+5139</f>
        <v>5539</v>
      </c>
      <c r="AZ64" s="39">
        <f t="shared" si="58"/>
        <v>345</v>
      </c>
      <c r="BA64" s="39">
        <f t="shared" si="59"/>
        <v>-719.29922581453684</v>
      </c>
      <c r="BB64" s="39">
        <f t="shared" si="60"/>
        <v>4870.5811000000003</v>
      </c>
      <c r="BC64" s="58">
        <f t="shared" si="61"/>
        <v>-0.12867882385473484</v>
      </c>
      <c r="BD64" s="291">
        <v>0</v>
      </c>
      <c r="BE64" s="51">
        <f t="shared" si="62"/>
        <v>0</v>
      </c>
      <c r="BI64" s="219">
        <v>4843</v>
      </c>
      <c r="BJ64" s="39">
        <f t="shared" si="66"/>
        <v>-696</v>
      </c>
      <c r="BK64" s="65">
        <f t="shared" si="67"/>
        <v>4843</v>
      </c>
      <c r="BL64" s="568">
        <f>'FY 2013 by Agency'!AS64*Inflator!$E$13</f>
        <v>4692.6837283491013</v>
      </c>
      <c r="BM64" s="256">
        <f t="shared" si="68"/>
        <v>-897.19659746543584</v>
      </c>
      <c r="BN64" s="51">
        <f t="shared" si="69"/>
        <v>-0.16050372193517393</v>
      </c>
      <c r="BO64" s="52">
        <f>'FY 2013 by Agency'!AX64*Inflator!$E$13</f>
        <v>5021.8230088495584</v>
      </c>
      <c r="BP64" s="52">
        <f t="shared" si="32"/>
        <v>-568.05731696497878</v>
      </c>
      <c r="BQ64" s="51">
        <f t="shared" si="33"/>
        <v>-0.10162244696753925</v>
      </c>
      <c r="BR64" s="52">
        <f>'FY 2013 by Agency'!BE64*Inflator!$E$14</f>
        <v>6051.2606748283079</v>
      </c>
      <c r="BS64" s="52">
        <f t="shared" si="34"/>
        <v>1029.4376659787495</v>
      </c>
      <c r="BT64" s="51">
        <f t="shared" si="35"/>
        <v>0.20499282116567102</v>
      </c>
      <c r="BU64" s="52">
        <f>'FY 2013 by Agency'!BL64*Inflator!$E$14</f>
        <v>6051.2606748283079</v>
      </c>
      <c r="BV64" s="52">
        <f t="shared" si="70"/>
        <v>1358.5769464792065</v>
      </c>
      <c r="BW64" s="39">
        <v>6835</v>
      </c>
      <c r="BX64" s="39">
        <f>'FY 2013 by Agency'!BW64*Inflator!E15</f>
        <v>7399</v>
      </c>
      <c r="BY64" s="534">
        <v>6835</v>
      </c>
      <c r="BZ64" s="39">
        <f t="shared" si="37"/>
        <v>783.73932517169214</v>
      </c>
      <c r="CA64" s="51">
        <f t="shared" si="38"/>
        <v>0.12951670193813442</v>
      </c>
      <c r="CC64" s="39"/>
    </row>
    <row r="65" spans="1:81" ht="18" customHeight="1">
      <c r="A65" s="63" t="s">
        <v>167</v>
      </c>
      <c r="B65" s="324" t="s">
        <v>78</v>
      </c>
      <c r="C65" s="324" t="s">
        <v>78</v>
      </c>
      <c r="D65" s="324" t="s">
        <v>78</v>
      </c>
      <c r="E65" s="324" t="s">
        <v>78</v>
      </c>
      <c r="F65" s="324" t="s">
        <v>78</v>
      </c>
      <c r="G65" s="324" t="s">
        <v>78</v>
      </c>
      <c r="H65" s="324" t="s">
        <v>78</v>
      </c>
      <c r="I65" s="324" t="s">
        <v>78</v>
      </c>
      <c r="J65" s="324" t="s">
        <v>78</v>
      </c>
      <c r="K65" s="324" t="s">
        <v>78</v>
      </c>
      <c r="L65" s="10" t="e">
        <f>'FY 2013 by Agency'!L65*Inflator!$E$6</f>
        <v>#VALUE!</v>
      </c>
      <c r="M65" s="324" t="s">
        <v>78</v>
      </c>
      <c r="N65" s="324" t="s">
        <v>78</v>
      </c>
      <c r="O65" s="10" t="e">
        <f>'FY 2013 by Agency'!O65*Inflator!$E$7</f>
        <v>#VALUE!</v>
      </c>
      <c r="P65" s="69" t="e">
        <f t="shared" si="63"/>
        <v>#VALUE!</v>
      </c>
      <c r="Q65" s="58" t="e">
        <f t="shared" si="45"/>
        <v>#VALUE!</v>
      </c>
      <c r="R65" s="52" t="e">
        <f>'FY 2013 by Agency'!R65*Inflator!$E$8</f>
        <v>#VALUE!</v>
      </c>
      <c r="S65" s="69" t="e">
        <f t="shared" si="46"/>
        <v>#VALUE!</v>
      </c>
      <c r="T65" s="60" t="s">
        <v>78</v>
      </c>
      <c r="U65" s="52">
        <f>'FY 2013 by Agency'!U65*Inflator!$E$9</f>
        <v>0</v>
      </c>
      <c r="V65" s="52" t="e">
        <f t="shared" si="64"/>
        <v>#VALUE!</v>
      </c>
      <c r="W65" s="60" t="s">
        <v>78</v>
      </c>
      <c r="X65" s="52">
        <f>'FY 2013 by Agency'!X65*Inflator!$E$10</f>
        <v>0</v>
      </c>
      <c r="Y65" s="39">
        <f t="shared" si="48"/>
        <v>0</v>
      </c>
      <c r="Z65" s="61" t="s">
        <v>127</v>
      </c>
      <c r="AA65" s="52">
        <f>'FY 2013 by Agency'!AA65*Inflator!$E$11</f>
        <v>0</v>
      </c>
      <c r="AB65" s="39">
        <f t="shared" si="50"/>
        <v>0</v>
      </c>
      <c r="AC65" s="58"/>
      <c r="AD65" s="52" t="e">
        <f>'FY 2013 by Agency'!AD65*Inflator!#REF!</f>
        <v>#REF!</v>
      </c>
      <c r="AE65" s="52">
        <f>'FY 2013 by Agency'!AE65*Inflator!$B$8</f>
        <v>0</v>
      </c>
      <c r="AF65" s="52">
        <f>'FY 2013 by Agency'!AF65*Inflator!$E$12</f>
        <v>0</v>
      </c>
      <c r="AG65" s="52">
        <f t="shared" si="52"/>
        <v>0</v>
      </c>
      <c r="AH65" s="58" t="e">
        <f t="shared" si="53"/>
        <v>#DIV/0!</v>
      </c>
      <c r="AI65" s="52">
        <f>'FY 2013 by Agency'!AI65*Inflator!$B$8</f>
        <v>0</v>
      </c>
      <c r="AJ65" s="52">
        <f>'FY 2013 by Agency'!AJ65*Inflator!$B$8</f>
        <v>0</v>
      </c>
      <c r="AK65" s="52">
        <f>'FY 2013 by Agency'!AK65</f>
        <v>0</v>
      </c>
      <c r="AL65" s="52">
        <f>'FY 2013 by Agency'!AL65</f>
        <v>0</v>
      </c>
      <c r="AM65" s="52">
        <f>'FY 2013 by Agency'!AM65</f>
        <v>0</v>
      </c>
      <c r="AN65" s="52">
        <f>'FY 2013 by Agency'!AN65</f>
        <v>0</v>
      </c>
      <c r="AO65" s="52">
        <f>'FY 2013 by Agency'!AO65</f>
        <v>0</v>
      </c>
      <c r="AP65" s="52">
        <f>'FY 2013 by Agency'!AP65</f>
        <v>0</v>
      </c>
      <c r="AQ65" s="52">
        <f>'FY 2013 by Agency'!AQ65</f>
        <v>0</v>
      </c>
      <c r="AR65" s="52">
        <f>'FY 2013 by Agency'!AR65</f>
        <v>0</v>
      </c>
      <c r="AS65" s="52">
        <f>'FY 2013 by Agency'!AS65</f>
        <v>0</v>
      </c>
      <c r="AT65" s="52" t="e">
        <f t="shared" si="54"/>
        <v>#REF!</v>
      </c>
      <c r="AU65" s="58" t="e">
        <f t="shared" si="55"/>
        <v>#REF!</v>
      </c>
      <c r="AV65" s="52">
        <f t="shared" si="56"/>
        <v>0</v>
      </c>
      <c r="AW65" s="58" t="e">
        <f t="shared" si="57"/>
        <v>#DIV/0!</v>
      </c>
      <c r="AX65" s="39"/>
      <c r="AY65" s="39"/>
      <c r="AZ65" s="39">
        <f t="shared" si="58"/>
        <v>0</v>
      </c>
      <c r="BA65" s="39">
        <f t="shared" si="59"/>
        <v>0</v>
      </c>
      <c r="BB65" s="39">
        <f t="shared" si="60"/>
        <v>0</v>
      </c>
      <c r="BC65" s="58" t="e">
        <f t="shared" si="61"/>
        <v>#DIV/0!</v>
      </c>
      <c r="BD65" s="289"/>
      <c r="BI65" s="65"/>
      <c r="BJ65" s="39">
        <f t="shared" si="66"/>
        <v>0</v>
      </c>
      <c r="BK65" s="65">
        <f t="shared" si="67"/>
        <v>0</v>
      </c>
      <c r="BL65" s="568">
        <f>'FY 2013 by Agency'!AS65*Inflator!$E$13</f>
        <v>0</v>
      </c>
      <c r="BM65" s="256">
        <f t="shared" si="68"/>
        <v>0</v>
      </c>
      <c r="BN65" s="51" t="e">
        <f t="shared" si="69"/>
        <v>#DIV/0!</v>
      </c>
      <c r="BO65" s="52">
        <f>'FY 2013 by Agency'!AX65*Inflator!$E$13</f>
        <v>0</v>
      </c>
      <c r="BP65" s="52">
        <f t="shared" si="32"/>
        <v>0</v>
      </c>
      <c r="BQ65" s="51" t="e">
        <f t="shared" si="33"/>
        <v>#DIV/0!</v>
      </c>
      <c r="BR65" s="52">
        <f>'FY 2013 by Agency'!BE65*Inflator!$E$14</f>
        <v>0</v>
      </c>
      <c r="BS65" s="52">
        <f t="shared" si="34"/>
        <v>0</v>
      </c>
      <c r="BT65" s="51" t="e">
        <f t="shared" si="35"/>
        <v>#DIV/0!</v>
      </c>
      <c r="BU65" s="52">
        <f>'FY 2013 by Agency'!BL65*Inflator!$E$14</f>
        <v>0</v>
      </c>
      <c r="BV65" s="52">
        <f t="shared" si="70"/>
        <v>0</v>
      </c>
      <c r="BW65" s="39"/>
      <c r="BX65" s="39">
        <f>'FY 2013 by Agency'!BW65*Inflator!E15</f>
        <v>0</v>
      </c>
      <c r="BY65" s="534"/>
      <c r="BZ65" s="39">
        <f t="shared" si="37"/>
        <v>0</v>
      </c>
      <c r="CA65" s="51" t="e">
        <f t="shared" si="38"/>
        <v>#DIV/0!</v>
      </c>
      <c r="CC65" s="39"/>
    </row>
    <row r="66" spans="1:81" ht="18" customHeight="1">
      <c r="A66" s="63" t="s">
        <v>107</v>
      </c>
      <c r="B66" s="322">
        <f>'FY 2013 by Agency'!B66*Inflator!$E$2</f>
        <v>6984.3261562998414</v>
      </c>
      <c r="C66" s="322">
        <f>'FY 2013 by Agency'!C66*Inflator!$E$3</f>
        <v>7828.0046367851628</v>
      </c>
      <c r="D66" s="322">
        <f t="shared" si="6"/>
        <v>843.67848048532142</v>
      </c>
      <c r="E66" s="351">
        <f t="shared" si="7"/>
        <v>0.12079597395724796</v>
      </c>
      <c r="F66" s="10">
        <f>'FY 2013 by Agency'!F66*Inflator!$E$4</f>
        <v>7925.2173582032738</v>
      </c>
      <c r="G66" s="10">
        <f t="shared" si="8"/>
        <v>97.212721418110959</v>
      </c>
      <c r="H66" s="14">
        <f t="shared" si="9"/>
        <v>1.2418582503297377E-2</v>
      </c>
      <c r="I66" s="10">
        <f>'FY 2013 by Agency'!I66*Inflator!$E$5</f>
        <v>8028.0751208627753</v>
      </c>
      <c r="J66" s="10">
        <f t="shared" si="10"/>
        <v>102.85776265950153</v>
      </c>
      <c r="K66" s="14">
        <f t="shared" si="11"/>
        <v>1.2978541535272215E-2</v>
      </c>
      <c r="L66" s="10">
        <f>'FY 2013 by Agency'!L66*Inflator!$E$6</f>
        <v>8001.5427117411837</v>
      </c>
      <c r="M66" s="10">
        <f t="shared" si="12"/>
        <v>-26.532409121591627</v>
      </c>
      <c r="N66" s="14">
        <f t="shared" si="13"/>
        <v>-3.3049527716352751E-3</v>
      </c>
      <c r="O66" s="10">
        <f>'FY 2013 by Agency'!O66*Inflator!$E$7</f>
        <v>7835.3741640267499</v>
      </c>
      <c r="P66" s="69">
        <f t="shared" si="63"/>
        <v>-166.16854771443377</v>
      </c>
      <c r="Q66" s="58">
        <f t="shared" si="45"/>
        <v>-2.0767063765166668E-2</v>
      </c>
      <c r="R66" s="52">
        <f>'FY 2013 by Agency'!R66*Inflator!$E$8</f>
        <v>11748.821452817379</v>
      </c>
      <c r="S66" s="69">
        <f t="shared" si="46"/>
        <v>3913.4472887906295</v>
      </c>
      <c r="T66" s="58">
        <f t="shared" si="47"/>
        <v>0.4994588907773912</v>
      </c>
      <c r="U66" s="52">
        <f>'FY 2013 by Agency'!U66*Inflator!$E$9</f>
        <v>8594.1458885941647</v>
      </c>
      <c r="V66" s="52">
        <f t="shared" si="64"/>
        <v>-3154.6755642232147</v>
      </c>
      <c r="W66" s="58">
        <f t="shared" si="65"/>
        <v>-0.26850995879818401</v>
      </c>
      <c r="X66" s="52">
        <f>'FY 2013 by Agency'!X66*Inflator!$E$10</f>
        <v>9245.4950778024777</v>
      </c>
      <c r="Y66" s="39">
        <f t="shared" si="48"/>
        <v>651.34918920831296</v>
      </c>
      <c r="Z66" s="58">
        <f t="shared" ref="Z66:Z71" si="71">Y66/U66</f>
        <v>7.5789868784140582E-2</v>
      </c>
      <c r="AA66" s="52">
        <f>'FY 2013 by Agency'!AA66*Inflator!$E$11</f>
        <v>10597.776361898696</v>
      </c>
      <c r="AB66" s="39">
        <f t="shared" si="50"/>
        <v>1352.2812840962179</v>
      </c>
      <c r="AC66" s="58">
        <f>AB66/X66</f>
        <v>0.14626380444925138</v>
      </c>
      <c r="AD66" s="52" t="e">
        <f>'FY 2013 by Agency'!AD66*Inflator!#REF!</f>
        <v>#REF!</v>
      </c>
      <c r="AE66" s="52">
        <f>'FY 2013 by Agency'!AE66*Inflator!$B$8</f>
        <v>0</v>
      </c>
      <c r="AF66" s="52">
        <f>'FY 2013 by Agency'!AF66*Inflator!$E$12</f>
        <v>10178.031954887219</v>
      </c>
      <c r="AG66" s="52">
        <f t="shared" si="52"/>
        <v>-419.74440701147614</v>
      </c>
      <c r="AH66" s="58">
        <f t="shared" si="53"/>
        <v>-3.9606837574016784E-2</v>
      </c>
      <c r="AI66" s="52">
        <f>'FY 2013 by Agency'!AI66*Inflator!$B$8</f>
        <v>0</v>
      </c>
      <c r="AJ66" s="52">
        <f>'FY 2013 by Agency'!AJ66*Inflator!$B$8</f>
        <v>0</v>
      </c>
      <c r="AK66" s="52">
        <f>'FY 2013 by Agency'!AK66</f>
        <v>0</v>
      </c>
      <c r="AL66" s="52">
        <f>'FY 2013 by Agency'!AL66</f>
        <v>0</v>
      </c>
      <c r="AM66" s="52">
        <f>'FY 2013 by Agency'!AM66</f>
        <v>0</v>
      </c>
      <c r="AN66" s="52">
        <f>'FY 2013 by Agency'!AN66</f>
        <v>0</v>
      </c>
      <c r="AO66" s="52">
        <f>'FY 2013 by Agency'!AO66</f>
        <v>9569</v>
      </c>
      <c r="AP66" s="52">
        <f>'FY 2013 by Agency'!AP66</f>
        <v>0</v>
      </c>
      <c r="AQ66" s="52">
        <f>'FY 2013 by Agency'!AQ66</f>
        <v>78</v>
      </c>
      <c r="AR66" s="52">
        <f>'FY 2013 by Agency'!AR66</f>
        <v>78</v>
      </c>
      <c r="AS66" s="52">
        <f>'FY 2013 by Agency'!AS66</f>
        <v>9316.9128099999998</v>
      </c>
      <c r="AT66" s="52" t="e">
        <f t="shared" si="54"/>
        <v>#REF!</v>
      </c>
      <c r="AU66" s="58" t="e">
        <f t="shared" si="55"/>
        <v>#REF!</v>
      </c>
      <c r="AV66" s="52">
        <f t="shared" si="56"/>
        <v>-861.11914488721959</v>
      </c>
      <c r="AW66" s="58">
        <f t="shared" si="57"/>
        <v>-8.4605663325092353E-2</v>
      </c>
      <c r="AX66" s="39">
        <v>9569</v>
      </c>
      <c r="AY66" s="39">
        <v>9569</v>
      </c>
      <c r="AZ66" s="39">
        <f t="shared" si="58"/>
        <v>0</v>
      </c>
      <c r="BA66" s="39">
        <f t="shared" si="59"/>
        <v>-861.11914488721959</v>
      </c>
      <c r="BB66" s="39">
        <f t="shared" si="60"/>
        <v>9316.9128099999998</v>
      </c>
      <c r="BC66" s="58">
        <f t="shared" si="61"/>
        <v>-8.460566332509234E-2</v>
      </c>
      <c r="BD66" s="289"/>
      <c r="BI66" s="219">
        <v>9453</v>
      </c>
      <c r="BJ66" s="39">
        <f t="shared" si="66"/>
        <v>-116</v>
      </c>
      <c r="BK66" s="65">
        <f t="shared" si="67"/>
        <v>9531</v>
      </c>
      <c r="BL66" s="568">
        <f>'FY 2013 by Agency'!AS66*Inflator!$E$13</f>
        <v>9660.9306464388173</v>
      </c>
      <c r="BM66" s="256">
        <f t="shared" si="68"/>
        <v>-517.10130844840205</v>
      </c>
      <c r="BN66" s="51">
        <f t="shared" si="69"/>
        <v>-5.0805628312073026E-2</v>
      </c>
      <c r="BO66" s="52">
        <f>'FY 2013 by Agency'!AX66*Inflator!$E$13</f>
        <v>9802.0427220018319</v>
      </c>
      <c r="BP66" s="52">
        <f t="shared" si="32"/>
        <v>-375.98923288538754</v>
      </c>
      <c r="BQ66" s="51">
        <f t="shared" si="33"/>
        <v>-3.6941250975818317E-2</v>
      </c>
      <c r="BR66" s="52">
        <f>'FY 2013 by Agency'!BE66*Inflator!$E$14</f>
        <v>10045.863839952226</v>
      </c>
      <c r="BS66" s="52">
        <f t="shared" si="34"/>
        <v>243.82111795039418</v>
      </c>
      <c r="BT66" s="51">
        <f t="shared" si="35"/>
        <v>2.4874521042752562E-2</v>
      </c>
      <c r="BU66" s="52">
        <f>'FY 2013 by Agency'!BL66*Inflator!$E$14</f>
        <v>10045.863839952226</v>
      </c>
      <c r="BV66" s="52">
        <f t="shared" si="70"/>
        <v>384.9331935134087</v>
      </c>
      <c r="BW66" s="487">
        <v>10360</v>
      </c>
      <c r="BX66" s="39">
        <f>'FY 2013 by Agency'!BW66*Inflator!E15</f>
        <v>12062</v>
      </c>
      <c r="BY66" s="595">
        <v>10360</v>
      </c>
      <c r="BZ66" s="39">
        <f t="shared" si="37"/>
        <v>314.13616004777396</v>
      </c>
      <c r="CA66" s="51">
        <f t="shared" si="38"/>
        <v>3.127019886517473E-2</v>
      </c>
      <c r="CC66" s="39"/>
    </row>
    <row r="67" spans="1:81" ht="18" customHeight="1">
      <c r="A67" s="63" t="s">
        <v>109</v>
      </c>
      <c r="B67" s="322">
        <f>'FY 2013 by Agency'!B67*Inflator!$E$2</f>
        <v>3735.3612440191391</v>
      </c>
      <c r="C67" s="322">
        <f>'FY 2013 by Agency'!C67*Inflator!$E$3</f>
        <v>4007.2241112828442</v>
      </c>
      <c r="D67" s="322">
        <f t="shared" si="6"/>
        <v>271.86286726370508</v>
      </c>
      <c r="E67" s="351">
        <f t="shared" si="7"/>
        <v>7.2780877003261038E-2</v>
      </c>
      <c r="F67" s="10">
        <f>'FY 2013 by Agency'!F67*Inflator!$E$4</f>
        <v>4948.8953178530646</v>
      </c>
      <c r="G67" s="10">
        <f t="shared" si="8"/>
        <v>941.67120657022042</v>
      </c>
      <c r="H67" s="14">
        <f t="shared" si="9"/>
        <v>0.23499339702983582</v>
      </c>
      <c r="I67" s="10">
        <f>'FY 2013 by Agency'!I67*Inflator!$E$5</f>
        <v>4775.3968017850511</v>
      </c>
      <c r="J67" s="10">
        <f t="shared" si="10"/>
        <v>-173.49851606801349</v>
      </c>
      <c r="K67" s="14">
        <f t="shared" si="11"/>
        <v>-3.5058029100377253E-2</v>
      </c>
      <c r="L67" s="10">
        <f>'FY 2013 by Agency'!L67*Inflator!$E$6</f>
        <v>5177.9047619047615</v>
      </c>
      <c r="M67" s="10">
        <f t="shared" si="12"/>
        <v>402.50796011971033</v>
      </c>
      <c r="N67" s="14">
        <f t="shared" si="13"/>
        <v>8.4287856449803758E-2</v>
      </c>
      <c r="O67" s="10">
        <f>'FY 2013 by Agency'!O67*Inflator!$E$7</f>
        <v>4580.9010911650821</v>
      </c>
      <c r="P67" s="69">
        <f t="shared" si="63"/>
        <v>-597.00367073967936</v>
      </c>
      <c r="Q67" s="58">
        <f t="shared" si="45"/>
        <v>-0.11529831045406551</v>
      </c>
      <c r="R67" s="52">
        <f>'FY 2013 by Agency'!R67*Inflator!$E$8</f>
        <v>4889.3828920570259</v>
      </c>
      <c r="S67" s="69">
        <f t="shared" si="46"/>
        <v>308.48180089194375</v>
      </c>
      <c r="T67" s="58">
        <f t="shared" si="47"/>
        <v>6.7340856035266655E-2</v>
      </c>
      <c r="U67" s="52">
        <f>'FY 2013 by Agency'!U67*Inflator!$E$9</f>
        <v>4939.2679045092837</v>
      </c>
      <c r="V67" s="52">
        <f t="shared" si="64"/>
        <v>49.885012452257797</v>
      </c>
      <c r="W67" s="58">
        <f t="shared" si="65"/>
        <v>1.0202721601799226E-2</v>
      </c>
      <c r="X67" s="52">
        <f>'FY 2013 by Agency'!X67*Inflator!$E$10</f>
        <v>5249.6887900920938</v>
      </c>
      <c r="Y67" s="39">
        <f t="shared" si="48"/>
        <v>310.42088558281012</v>
      </c>
      <c r="Z67" s="58">
        <f t="shared" si="71"/>
        <v>6.2847549795671684E-2</v>
      </c>
      <c r="AA67" s="52">
        <f>'FY 2013 by Agency'!AA67*Inflator!$E$11</f>
        <v>5439.6145269194021</v>
      </c>
      <c r="AB67" s="39">
        <f t="shared" si="50"/>
        <v>189.92573682730836</v>
      </c>
      <c r="AC67" s="58">
        <f>AB67/X67</f>
        <v>3.6178475414725783E-2</v>
      </c>
      <c r="AD67" s="52" t="e">
        <f>'FY 2013 by Agency'!AD67*Inflator!#REF!</f>
        <v>#REF!</v>
      </c>
      <c r="AE67" s="52">
        <f>'FY 2013 by Agency'!AE67*Inflator!$B$8</f>
        <v>0</v>
      </c>
      <c r="AF67" s="52">
        <f>'FY 2013 by Agency'!AF67*Inflator!$E$12</f>
        <v>5027.8051378446125</v>
      </c>
      <c r="AG67" s="52">
        <f t="shared" si="52"/>
        <v>-411.80938907478958</v>
      </c>
      <c r="AH67" s="58">
        <f t="shared" si="53"/>
        <v>-7.5705619770820076E-2</v>
      </c>
      <c r="AI67" s="52">
        <f>'FY 2013 by Agency'!AI67*Inflator!$B$8</f>
        <v>0</v>
      </c>
      <c r="AJ67" s="52">
        <f>'FY 2013 by Agency'!AJ67*Inflator!$B$8</f>
        <v>0</v>
      </c>
      <c r="AK67" s="52">
        <f>'FY 2013 by Agency'!AK67</f>
        <v>0</v>
      </c>
      <c r="AL67" s="52">
        <f>'FY 2013 by Agency'!AL67</f>
        <v>0</v>
      </c>
      <c r="AM67" s="52">
        <f>'FY 2013 by Agency'!AM67</f>
        <v>0</v>
      </c>
      <c r="AN67" s="52">
        <f>'FY 2013 by Agency'!AN67</f>
        <v>0</v>
      </c>
      <c r="AO67" s="52">
        <f>'FY 2013 by Agency'!AO67</f>
        <v>5229</v>
      </c>
      <c r="AP67" s="52">
        <f>'FY 2013 by Agency'!AP67</f>
        <v>0</v>
      </c>
      <c r="AQ67" s="52">
        <f>'FY 2013 by Agency'!AQ67</f>
        <v>14</v>
      </c>
      <c r="AR67" s="52">
        <f>'FY 2013 by Agency'!AR67</f>
        <v>14</v>
      </c>
      <c r="AS67" s="52">
        <f>'FY 2013 by Agency'!AS67</f>
        <v>4974.1370699999998</v>
      </c>
      <c r="AT67" s="52" t="e">
        <f t="shared" si="54"/>
        <v>#REF!</v>
      </c>
      <c r="AU67" s="58" t="e">
        <f t="shared" si="55"/>
        <v>#REF!</v>
      </c>
      <c r="AV67" s="52">
        <f t="shared" si="56"/>
        <v>-53.668067844612779</v>
      </c>
      <c r="AW67" s="58">
        <f t="shared" si="57"/>
        <v>-1.0674253749543668E-2</v>
      </c>
      <c r="AX67" s="39">
        <v>5229</v>
      </c>
      <c r="AY67" s="39">
        <v>5229</v>
      </c>
      <c r="AZ67" s="39">
        <f t="shared" si="58"/>
        <v>0</v>
      </c>
      <c r="BA67" s="39">
        <f t="shared" si="59"/>
        <v>-53.668067844612779</v>
      </c>
      <c r="BB67" s="39">
        <f t="shared" si="60"/>
        <v>4974.1370699999998</v>
      </c>
      <c r="BC67" s="58">
        <f t="shared" si="61"/>
        <v>-1.0674253749543672E-2</v>
      </c>
      <c r="BD67" s="289"/>
      <c r="BI67" s="219">
        <v>5170</v>
      </c>
      <c r="BJ67" s="39">
        <f t="shared" si="66"/>
        <v>-59</v>
      </c>
      <c r="BK67" s="65">
        <f t="shared" si="67"/>
        <v>5184</v>
      </c>
      <c r="BL67" s="568">
        <f>'FY 2013 by Agency'!AS67*Inflator!$E$13</f>
        <v>5157.8021861031439</v>
      </c>
      <c r="BM67" s="256">
        <f t="shared" si="68"/>
        <v>129.99704825853132</v>
      </c>
      <c r="BN67" s="51">
        <f t="shared" si="69"/>
        <v>2.585562580379959E-2</v>
      </c>
      <c r="BO67" s="52">
        <f>'FY 2013 by Agency'!AX67*Inflator!$E$13</f>
        <v>5360.8971620384509</v>
      </c>
      <c r="BP67" s="52">
        <f t="shared" si="32"/>
        <v>333.09202419383837</v>
      </c>
      <c r="BQ67" s="51">
        <f t="shared" si="33"/>
        <v>6.6249986835534513E-2</v>
      </c>
      <c r="BR67" s="52">
        <f>'FY 2013 by Agency'!BE67*Inflator!$E$14</f>
        <v>5526.6963272618696</v>
      </c>
      <c r="BS67" s="52">
        <f t="shared" si="34"/>
        <v>165.79916522341864</v>
      </c>
      <c r="BT67" s="51">
        <f t="shared" si="35"/>
        <v>3.092750340325022E-2</v>
      </c>
      <c r="BU67" s="52">
        <f>'FY 2013 by Agency'!BL67*Inflator!$E$14</f>
        <v>5526.6963272618696</v>
      </c>
      <c r="BV67" s="52">
        <f t="shared" si="70"/>
        <v>368.89414115872569</v>
      </c>
      <c r="BW67" s="39">
        <v>6116</v>
      </c>
      <c r="BX67" s="39">
        <f>'FY 2013 by Agency'!BW67*Inflator!E15</f>
        <v>7154</v>
      </c>
      <c r="BY67" s="534">
        <v>6116</v>
      </c>
      <c r="BZ67" s="39">
        <f t="shared" si="37"/>
        <v>589.30367273813044</v>
      </c>
      <c r="CA67" s="51">
        <f t="shared" si="38"/>
        <v>0.10662856032658001</v>
      </c>
      <c r="CC67" s="39"/>
    </row>
    <row r="68" spans="1:81" ht="18" customHeight="1">
      <c r="A68" s="63" t="s">
        <v>110</v>
      </c>
      <c r="B68" s="322">
        <f>'FY 2013 by Agency'!B68*Inflator!$E$2</f>
        <v>8706.3588516746422</v>
      </c>
      <c r="C68" s="322">
        <f>'FY 2013 by Agency'!C68*Inflator!$E$3</f>
        <v>9871.0061823802171</v>
      </c>
      <c r="D68" s="322">
        <f t="shared" si="6"/>
        <v>1164.6473307055749</v>
      </c>
      <c r="E68" s="351">
        <f t="shared" si="7"/>
        <v>0.13376973664272504</v>
      </c>
      <c r="F68" s="10">
        <f>'FY 2013 by Agency'!F68*Inflator!$E$4</f>
        <v>10795.47316330415</v>
      </c>
      <c r="G68" s="10">
        <f t="shared" si="8"/>
        <v>924.46698092393308</v>
      </c>
      <c r="H68" s="14">
        <f t="shared" si="9"/>
        <v>9.3654786943007912E-2</v>
      </c>
      <c r="I68" s="10">
        <f>'FY 2013 by Agency'!I68*Inflator!$E$5</f>
        <v>11814.020825585721</v>
      </c>
      <c r="J68" s="10">
        <f t="shared" si="10"/>
        <v>1018.5476622815713</v>
      </c>
      <c r="K68" s="14">
        <f t="shared" si="11"/>
        <v>9.4349515475042542E-2</v>
      </c>
      <c r="L68" s="10">
        <f>'FY 2013 by Agency'!L68*Inflator!$E$6</f>
        <v>14066.311886586695</v>
      </c>
      <c r="M68" s="10">
        <f t="shared" si="12"/>
        <v>2252.2910610009731</v>
      </c>
      <c r="N68" s="14">
        <f t="shared" si="13"/>
        <v>0.19064559765487868</v>
      </c>
      <c r="O68" s="10">
        <f>'FY 2013 by Agency'!O68*Inflator!$E$7</f>
        <v>14072.815205913408</v>
      </c>
      <c r="P68" s="69">
        <f t="shared" si="63"/>
        <v>6.5033193267136085</v>
      </c>
      <c r="Q68" s="58">
        <f t="shared" si="45"/>
        <v>4.6233293980314923E-4</v>
      </c>
      <c r="R68" s="52">
        <f>'FY 2013 by Agency'!R68*Inflator!$E$8</f>
        <v>15175.657162253903</v>
      </c>
      <c r="S68" s="69">
        <f t="shared" si="46"/>
        <v>1102.841956340495</v>
      </c>
      <c r="T68" s="58">
        <f t="shared" si="47"/>
        <v>7.8366832805214406E-2</v>
      </c>
      <c r="U68" s="52">
        <f>'FY 2013 by Agency'!U68*Inflator!$E$9</f>
        <v>15740.53647214854</v>
      </c>
      <c r="V68" s="52">
        <f t="shared" si="64"/>
        <v>564.87930989463712</v>
      </c>
      <c r="W68" s="58">
        <f t="shared" si="65"/>
        <v>3.7222724779237215E-2</v>
      </c>
      <c r="X68" s="52">
        <f>'FY 2013 by Agency'!X68*Inflator!$E$10</f>
        <v>15809.494442680218</v>
      </c>
      <c r="Y68" s="39">
        <f t="shared" si="48"/>
        <v>68.957970531677347</v>
      </c>
      <c r="Z68" s="58">
        <f t="shared" si="71"/>
        <v>4.3809161557925459E-3</v>
      </c>
      <c r="AA68" s="52">
        <f>'FY 2013 by Agency'!AA68*Inflator!$E$11</f>
        <v>17665.486460656262</v>
      </c>
      <c r="AB68" s="39">
        <f t="shared" si="50"/>
        <v>1855.9920179760447</v>
      </c>
      <c r="AC68" s="58">
        <f>AB68/X68</f>
        <v>0.11739730354472958</v>
      </c>
      <c r="AD68" s="52" t="e">
        <f>'FY 2013 by Agency'!AD68*Inflator!#REF!</f>
        <v>#REF!</v>
      </c>
      <c r="AE68" s="52">
        <f>'FY 2013 by Agency'!AE68*Inflator!$B$8</f>
        <v>0</v>
      </c>
      <c r="AF68" s="52">
        <f>'FY 2013 by Agency'!AF68*Inflator!$E$12</f>
        <v>15918.011904761906</v>
      </c>
      <c r="AG68" s="52">
        <f t="shared" si="52"/>
        <v>-1747.4745558943559</v>
      </c>
      <c r="AH68" s="58">
        <f t="shared" si="53"/>
        <v>-9.8920262387693025E-2</v>
      </c>
      <c r="AI68" s="52">
        <f>'FY 2013 by Agency'!AI68*Inflator!$B$8</f>
        <v>0</v>
      </c>
      <c r="AJ68" s="52">
        <f>'FY 2013 by Agency'!AJ68*Inflator!$B$8</f>
        <v>0</v>
      </c>
      <c r="AK68" s="52">
        <f>'FY 2013 by Agency'!AK68</f>
        <v>0</v>
      </c>
      <c r="AL68" s="52">
        <f>'FY 2013 by Agency'!AL68</f>
        <v>0</v>
      </c>
      <c r="AM68" s="52">
        <f>'FY 2013 by Agency'!AM68</f>
        <v>0</v>
      </c>
      <c r="AN68" s="52">
        <f>'FY 2013 by Agency'!AN68</f>
        <v>0</v>
      </c>
      <c r="AO68" s="52">
        <f>'FY 2013 by Agency'!AO68</f>
        <v>16674</v>
      </c>
      <c r="AP68" s="52">
        <f>'FY 2013 by Agency'!AP68</f>
        <v>0</v>
      </c>
      <c r="AQ68" s="52">
        <f>'FY 2013 by Agency'!AQ68</f>
        <v>119</v>
      </c>
      <c r="AR68" s="52">
        <f>'FY 2013 by Agency'!AR68</f>
        <v>119</v>
      </c>
      <c r="AS68" s="52">
        <f>'FY 2013 by Agency'!AS68</f>
        <v>13872.063039999999</v>
      </c>
      <c r="AT68" s="52" t="e">
        <f t="shared" si="54"/>
        <v>#REF!</v>
      </c>
      <c r="AU68" s="58" t="e">
        <f t="shared" si="55"/>
        <v>#REF!</v>
      </c>
      <c r="AV68" s="52">
        <f t="shared" si="56"/>
        <v>-2045.9488647619073</v>
      </c>
      <c r="AW68" s="58">
        <f t="shared" si="57"/>
        <v>-0.12853042685248009</v>
      </c>
      <c r="AX68" s="39">
        <v>16674</v>
      </c>
      <c r="AY68" s="39">
        <v>16674</v>
      </c>
      <c r="AZ68" s="39">
        <f t="shared" si="58"/>
        <v>0</v>
      </c>
      <c r="BA68" s="39">
        <f t="shared" si="59"/>
        <v>-2045.9488647619073</v>
      </c>
      <c r="BB68" s="39">
        <f t="shared" si="60"/>
        <v>13872.063039999999</v>
      </c>
      <c r="BC68" s="58">
        <f t="shared" si="61"/>
        <v>-0.12853042685248006</v>
      </c>
      <c r="BD68" s="289"/>
      <c r="BI68" s="219">
        <v>15088</v>
      </c>
      <c r="BJ68" s="39">
        <f t="shared" si="66"/>
        <v>-1586</v>
      </c>
      <c r="BK68" s="65">
        <f t="shared" si="67"/>
        <v>15207</v>
      </c>
      <c r="BL68" s="568">
        <f>'FY 2013 by Agency'!AS68*Inflator!$E$13</f>
        <v>14384.275315813245</v>
      </c>
      <c r="BM68" s="256">
        <f t="shared" si="68"/>
        <v>-1533.7365889486609</v>
      </c>
      <c r="BN68" s="51">
        <f t="shared" si="69"/>
        <v>-9.6352270504951723E-2</v>
      </c>
      <c r="BO68" s="52">
        <f>'FY 2013 by Agency'!AX68*Inflator!$E$13</f>
        <v>15645.109551418984</v>
      </c>
      <c r="BP68" s="52">
        <f t="shared" si="32"/>
        <v>-272.90235334292265</v>
      </c>
      <c r="BQ68" s="51">
        <f t="shared" si="33"/>
        <v>-1.7144248601879946E-2</v>
      </c>
      <c r="BR68" s="52">
        <f>'FY 2013 by Agency'!BE68*Inflator!$E$14</f>
        <v>17291.345476261573</v>
      </c>
      <c r="BS68" s="52">
        <f t="shared" si="34"/>
        <v>1646.2359248425892</v>
      </c>
      <c r="BT68" s="51">
        <f t="shared" si="35"/>
        <v>0.10522367513196981</v>
      </c>
      <c r="BU68" s="52">
        <f>'FY 2013 by Agency'!BL68*Inflator!$E$14</f>
        <v>17291.345476261573</v>
      </c>
      <c r="BV68" s="52">
        <f t="shared" si="70"/>
        <v>2907.0701604483274</v>
      </c>
      <c r="BW68" s="39">
        <v>17868</v>
      </c>
      <c r="BX68" s="39">
        <f>'FY 2013 by Agency'!BW68*Inflator!E15</f>
        <v>19769</v>
      </c>
      <c r="BY68" s="534">
        <v>17868</v>
      </c>
      <c r="BZ68" s="39">
        <f t="shared" si="37"/>
        <v>576.65452373842709</v>
      </c>
      <c r="CA68" s="51">
        <f t="shared" si="38"/>
        <v>3.3349314807808762E-2</v>
      </c>
      <c r="CC68" s="39"/>
    </row>
    <row r="69" spans="1:81" ht="18" customHeight="1">
      <c r="A69" s="63" t="s">
        <v>111</v>
      </c>
      <c r="B69" s="322">
        <f>'FY 2013 by Agency'!B69*Inflator!$E$2</f>
        <v>4498.149920255184</v>
      </c>
      <c r="C69" s="322">
        <f>'FY 2013 by Agency'!C69*Inflator!$E$3</f>
        <v>10092.900309119012</v>
      </c>
      <c r="D69" s="322">
        <f t="shared" si="6"/>
        <v>5594.7503888638275</v>
      </c>
      <c r="E69" s="351">
        <f t="shared" si="7"/>
        <v>1.2437892218022009</v>
      </c>
      <c r="F69" s="10">
        <f>'FY 2013 by Agency'!F69*Inflator!$E$4</f>
        <v>4135.2896840502472</v>
      </c>
      <c r="G69" s="10">
        <f t="shared" si="8"/>
        <v>-5957.6106250687644</v>
      </c>
      <c r="H69" s="14">
        <f t="shared" si="9"/>
        <v>-0.59027736751605664</v>
      </c>
      <c r="I69" s="10">
        <f>'FY 2013 by Agency'!I69*Inflator!$E$5</f>
        <v>6766.9356638155459</v>
      </c>
      <c r="J69" s="10">
        <f t="shared" si="10"/>
        <v>2631.6459797652988</v>
      </c>
      <c r="K69" s="14">
        <f t="shared" si="11"/>
        <v>0.63638733458396379</v>
      </c>
      <c r="L69" s="10">
        <f>'FY 2013 by Agency'!L69*Inflator!$E$6</f>
        <v>5539.8146128680473</v>
      </c>
      <c r="M69" s="10">
        <f t="shared" si="12"/>
        <v>-1227.1210509474986</v>
      </c>
      <c r="N69" s="14">
        <f t="shared" si="13"/>
        <v>-0.18134072967609458</v>
      </c>
      <c r="O69" s="10">
        <f>'FY 2013 by Agency'!O69*Inflator!$E$7</f>
        <v>5842.7419922562467</v>
      </c>
      <c r="P69" s="69">
        <f t="shared" si="63"/>
        <v>302.92737938819937</v>
      </c>
      <c r="Q69" s="58">
        <f t="shared" si="45"/>
        <v>5.4681862220542644E-2</v>
      </c>
      <c r="R69" s="52">
        <f>'FY 2013 by Agency'!R69*Inflator!$E$8</f>
        <v>6211.2118126272908</v>
      </c>
      <c r="S69" s="69">
        <f t="shared" si="46"/>
        <v>368.46982037104408</v>
      </c>
      <c r="T69" s="58">
        <f t="shared" si="47"/>
        <v>6.306453731131724E-2</v>
      </c>
      <c r="U69" s="52">
        <f>'FY 2013 by Agency'!U69*Inflator!$E$9</f>
        <v>7396.5086206896549</v>
      </c>
      <c r="V69" s="52">
        <f t="shared" si="64"/>
        <v>1185.2968080623641</v>
      </c>
      <c r="W69" s="58">
        <f t="shared" si="65"/>
        <v>0.19083181250600331</v>
      </c>
      <c r="X69" s="52">
        <f>'FY 2013 by Agency'!X69*Inflator!$E$10</f>
        <v>7490.9228326452849</v>
      </c>
      <c r="Y69" s="39">
        <f t="shared" si="48"/>
        <v>94.41421195562998</v>
      </c>
      <c r="Z69" s="58">
        <f t="shared" si="71"/>
        <v>1.2764699778965003E-2</v>
      </c>
      <c r="AA69" s="52">
        <f>'FY 2013 by Agency'!AA69*Inflator!$E$11</f>
        <v>7673.915896782416</v>
      </c>
      <c r="AB69" s="39">
        <f t="shared" si="50"/>
        <v>182.99306413713111</v>
      </c>
      <c r="AC69" s="58">
        <f>AB69/X69</f>
        <v>2.4428640933217356E-2</v>
      </c>
      <c r="AD69" s="52" t="e">
        <f>'FY 2013 by Agency'!AD69*Inflator!#REF!</f>
        <v>#REF!</v>
      </c>
      <c r="AE69" s="52">
        <f>'FY 2013 by Agency'!AE69*Inflator!$B$8</f>
        <v>0</v>
      </c>
      <c r="AF69" s="52">
        <f>'FY 2013 by Agency'!AF69*Inflator!$E$12</f>
        <v>7116.4254385964923</v>
      </c>
      <c r="AG69" s="52">
        <f t="shared" si="52"/>
        <v>-557.49045818592367</v>
      </c>
      <c r="AH69" s="58">
        <f t="shared" si="53"/>
        <v>-7.2647454791584687E-2</v>
      </c>
      <c r="AI69" s="52">
        <f>'FY 2013 by Agency'!AI69*Inflator!$B$8</f>
        <v>0</v>
      </c>
      <c r="AJ69" s="52">
        <f>'FY 2013 by Agency'!AJ69*Inflator!$B$8</f>
        <v>0</v>
      </c>
      <c r="AK69" s="52">
        <f>'FY 2013 by Agency'!AK69</f>
        <v>0</v>
      </c>
      <c r="AL69" s="52">
        <f>'FY 2013 by Agency'!AL69</f>
        <v>0</v>
      </c>
      <c r="AM69" s="52">
        <f>'FY 2013 by Agency'!AM69</f>
        <v>0</v>
      </c>
      <c r="AN69" s="52">
        <f>'FY 2013 by Agency'!AN69</f>
        <v>0</v>
      </c>
      <c r="AO69" s="52">
        <f>'FY 2013 by Agency'!AO69</f>
        <v>7631</v>
      </c>
      <c r="AP69" s="52">
        <f>'FY 2013 by Agency'!AP69</f>
        <v>0</v>
      </c>
      <c r="AQ69" s="52">
        <f>'FY 2013 by Agency'!AQ69</f>
        <v>0</v>
      </c>
      <c r="AR69" s="52">
        <f>'FY 2013 by Agency'!AR69</f>
        <v>0</v>
      </c>
      <c r="AS69" s="52">
        <f>'FY 2013 by Agency'!AS69</f>
        <v>6956.5019300000004</v>
      </c>
      <c r="AT69" s="52" t="e">
        <f t="shared" si="54"/>
        <v>#REF!</v>
      </c>
      <c r="AU69" s="58" t="e">
        <f t="shared" si="55"/>
        <v>#REF!</v>
      </c>
      <c r="AV69" s="52">
        <f t="shared" si="56"/>
        <v>-159.92350859649196</v>
      </c>
      <c r="AW69" s="58">
        <f t="shared" si="57"/>
        <v>-2.247244912159611E-2</v>
      </c>
      <c r="AX69" s="39">
        <v>7631</v>
      </c>
      <c r="AY69" s="39">
        <v>7631</v>
      </c>
      <c r="AZ69" s="39">
        <f t="shared" si="58"/>
        <v>0</v>
      </c>
      <c r="BA69" s="39">
        <f t="shared" si="59"/>
        <v>-159.92350859649196</v>
      </c>
      <c r="BB69" s="39">
        <f t="shared" si="60"/>
        <v>6956.5019300000004</v>
      </c>
      <c r="BC69" s="58">
        <f t="shared" si="61"/>
        <v>-2.2472449121596072E-2</v>
      </c>
      <c r="BD69" s="289"/>
      <c r="BH69" s="50">
        <v>288</v>
      </c>
      <c r="BI69" s="219">
        <v>7295</v>
      </c>
      <c r="BJ69" s="39">
        <f t="shared" si="66"/>
        <v>-336</v>
      </c>
      <c r="BK69" s="65">
        <f t="shared" si="67"/>
        <v>7295</v>
      </c>
      <c r="BL69" s="568">
        <f>'FY 2013 by Agency'!AS69*Inflator!$E$13</f>
        <v>7213.3639176502911</v>
      </c>
      <c r="BM69" s="256">
        <f t="shared" si="68"/>
        <v>96.938479053798801</v>
      </c>
      <c r="BN69" s="51">
        <f t="shared" si="69"/>
        <v>1.3621793678613612E-2</v>
      </c>
      <c r="BO69" s="52">
        <f>'FY 2013 by Agency'!AX69*Inflator!$E$13</f>
        <v>7564.360695758317</v>
      </c>
      <c r="BP69" s="52">
        <f t="shared" si="32"/>
        <v>447.93525716182467</v>
      </c>
      <c r="BQ69" s="51">
        <f t="shared" si="33"/>
        <v>6.2943855876352275E-2</v>
      </c>
      <c r="BR69" s="52">
        <f>'FY 2013 by Agency'!BE69*Inflator!$E$14</f>
        <v>8649.7312630636025</v>
      </c>
      <c r="BS69" s="52">
        <f t="shared" si="34"/>
        <v>1085.3705673052855</v>
      </c>
      <c r="BT69" s="51">
        <f t="shared" si="35"/>
        <v>0.14348477167593321</v>
      </c>
      <c r="BU69" s="52">
        <f>'FY 2013 by Agency'!BL69*Inflator!$E$14</f>
        <v>8649.7312630636025</v>
      </c>
      <c r="BV69" s="52">
        <f t="shared" si="70"/>
        <v>1436.3673454133113</v>
      </c>
      <c r="BW69" s="39">
        <v>8592</v>
      </c>
      <c r="BX69" s="39">
        <f>'FY 2013 by Agency'!BW69*Inflator!E15</f>
        <v>8788</v>
      </c>
      <c r="BY69" s="534">
        <v>8592</v>
      </c>
      <c r="BZ69" s="39">
        <f t="shared" si="37"/>
        <v>-57.731263063602455</v>
      </c>
      <c r="CA69" s="51">
        <f t="shared" si="38"/>
        <v>-6.6743418156964707E-3</v>
      </c>
      <c r="CC69" s="39"/>
    </row>
    <row r="70" spans="1:81" ht="18" customHeight="1">
      <c r="A70" s="63" t="s">
        <v>101</v>
      </c>
      <c r="B70" s="324" t="s">
        <v>78</v>
      </c>
      <c r="C70" s="324" t="s">
        <v>78</v>
      </c>
      <c r="D70" s="324" t="s">
        <v>78</v>
      </c>
      <c r="E70" s="324" t="s">
        <v>78</v>
      </c>
      <c r="F70" s="324" t="s">
        <v>78</v>
      </c>
      <c r="G70" s="324" t="s">
        <v>78</v>
      </c>
      <c r="H70" s="324" t="s">
        <v>78</v>
      </c>
      <c r="I70" s="324" t="s">
        <v>78</v>
      </c>
      <c r="J70" s="324" t="s">
        <v>78</v>
      </c>
      <c r="K70" s="324" t="s">
        <v>78</v>
      </c>
      <c r="L70" s="10" t="e">
        <f>'FY 2013 by Agency'!L70*Inflator!$E$6</f>
        <v>#VALUE!</v>
      </c>
      <c r="M70" s="324" t="s">
        <v>78</v>
      </c>
      <c r="N70" s="324" t="s">
        <v>78</v>
      </c>
      <c r="O70" s="10" t="e">
        <f>'FY 2013 by Agency'!O70*Inflator!$E$7</f>
        <v>#VALUE!</v>
      </c>
      <c r="P70" s="69" t="e">
        <f t="shared" si="63"/>
        <v>#VALUE!</v>
      </c>
      <c r="Q70" s="70" t="s">
        <v>78</v>
      </c>
      <c r="R70" s="52" t="e">
        <f>'FY 2013 by Agency'!R70*Inflator!$E$8</f>
        <v>#VALUE!</v>
      </c>
      <c r="S70" s="69" t="e">
        <f t="shared" si="46"/>
        <v>#VALUE!</v>
      </c>
      <c r="T70" s="70" t="s">
        <v>78</v>
      </c>
      <c r="U70" s="52" t="e">
        <f>'FY 2013 by Agency'!U70*Inflator!$E$9</f>
        <v>#VALUE!</v>
      </c>
      <c r="V70" s="69" t="e">
        <f t="shared" si="64"/>
        <v>#VALUE!</v>
      </c>
      <c r="W70" s="72" t="e">
        <f t="shared" si="65"/>
        <v>#VALUE!</v>
      </c>
      <c r="X70" s="52" t="e">
        <f>'FY 2013 by Agency'!X70*Inflator!$E$10</f>
        <v>#VALUE!</v>
      </c>
      <c r="Y70" s="39" t="e">
        <f t="shared" si="48"/>
        <v>#VALUE!</v>
      </c>
      <c r="Z70" s="58" t="e">
        <f t="shared" si="71"/>
        <v>#VALUE!</v>
      </c>
      <c r="AA70" s="52" t="e">
        <f>'FY 2013 by Agency'!AA70*Inflator!$E$11</f>
        <v>#VALUE!</v>
      </c>
      <c r="AB70" s="39" t="e">
        <f t="shared" si="50"/>
        <v>#VALUE!</v>
      </c>
      <c r="AC70" s="58"/>
      <c r="AD70" s="52" t="e">
        <f>'FY 2013 by Agency'!AD70*Inflator!#REF!</f>
        <v>#REF!</v>
      </c>
      <c r="AE70" s="52">
        <f>'FY 2013 by Agency'!AE70*Inflator!$B$8</f>
        <v>0</v>
      </c>
      <c r="AF70" s="52">
        <f>'FY 2013 by Agency'!AF70*Inflator!$E$12</f>
        <v>0</v>
      </c>
      <c r="AG70" s="52" t="e">
        <f t="shared" si="52"/>
        <v>#VALUE!</v>
      </c>
      <c r="AH70" s="58" t="e">
        <f t="shared" si="53"/>
        <v>#VALUE!</v>
      </c>
      <c r="AI70" s="52">
        <f>'FY 2013 by Agency'!AI70*Inflator!$B$8</f>
        <v>0</v>
      </c>
      <c r="AJ70" s="52">
        <f>'FY 2013 by Agency'!AJ70*Inflator!$B$8</f>
        <v>0</v>
      </c>
      <c r="AK70" s="52">
        <f>'FY 2013 by Agency'!AK70</f>
        <v>0</v>
      </c>
      <c r="AL70" s="52">
        <f>'FY 2013 by Agency'!AL70</f>
        <v>0</v>
      </c>
      <c r="AM70" s="52">
        <f>'FY 2013 by Agency'!AM70</f>
        <v>0</v>
      </c>
      <c r="AN70" s="52">
        <f>'FY 2013 by Agency'!AN70</f>
        <v>0</v>
      </c>
      <c r="AO70" s="52">
        <f>'FY 2013 by Agency'!AO70</f>
        <v>0</v>
      </c>
      <c r="AP70" s="52">
        <f>'FY 2013 by Agency'!AP70</f>
        <v>0</v>
      </c>
      <c r="AQ70" s="52">
        <f>'FY 2013 by Agency'!AQ70</f>
        <v>0</v>
      </c>
      <c r="AR70" s="52">
        <f>'FY 2013 by Agency'!AR70</f>
        <v>0</v>
      </c>
      <c r="AS70" s="52">
        <f>'FY 2013 by Agency'!AS70</f>
        <v>0</v>
      </c>
      <c r="AT70" s="52" t="e">
        <f t="shared" si="54"/>
        <v>#REF!</v>
      </c>
      <c r="AU70" s="58" t="e">
        <f t="shared" si="55"/>
        <v>#REF!</v>
      </c>
      <c r="AV70" s="52">
        <f t="shared" si="56"/>
        <v>0</v>
      </c>
      <c r="AW70" s="58" t="e">
        <f t="shared" si="57"/>
        <v>#DIV/0!</v>
      </c>
      <c r="AX70" s="39"/>
      <c r="AY70" s="39"/>
      <c r="AZ70" s="39">
        <f t="shared" si="58"/>
        <v>0</v>
      </c>
      <c r="BA70" s="39">
        <f t="shared" si="59"/>
        <v>0</v>
      </c>
      <c r="BB70" s="39">
        <f t="shared" si="60"/>
        <v>0</v>
      </c>
      <c r="BC70" s="58" t="e">
        <f t="shared" si="61"/>
        <v>#DIV/0!</v>
      </c>
      <c r="BD70" s="289"/>
      <c r="BI70" s="65"/>
      <c r="BJ70" s="39">
        <f t="shared" si="66"/>
        <v>0</v>
      </c>
      <c r="BK70" s="65">
        <f t="shared" si="67"/>
        <v>0</v>
      </c>
      <c r="BL70" s="568">
        <f>'FY 2013 by Agency'!AS70*Inflator!$E$13</f>
        <v>0</v>
      </c>
      <c r="BM70" s="256">
        <f t="shared" si="68"/>
        <v>0</v>
      </c>
      <c r="BN70" s="51" t="e">
        <f t="shared" si="69"/>
        <v>#DIV/0!</v>
      </c>
      <c r="BO70" s="52">
        <f>'FY 2013 by Agency'!AX70*Inflator!$E$13</f>
        <v>0</v>
      </c>
      <c r="BP70" s="52">
        <f t="shared" si="32"/>
        <v>0</v>
      </c>
      <c r="BQ70" s="51" t="e">
        <f t="shared" si="33"/>
        <v>#DIV/0!</v>
      </c>
      <c r="BR70" s="52">
        <f>'FY 2013 by Agency'!BE70*Inflator!$E$14</f>
        <v>0</v>
      </c>
      <c r="BS70" s="52">
        <f t="shared" si="34"/>
        <v>0</v>
      </c>
      <c r="BT70" s="51" t="e">
        <f t="shared" si="35"/>
        <v>#DIV/0!</v>
      </c>
      <c r="BU70" s="52">
        <f>'FY 2013 by Agency'!BL70*Inflator!$E$14</f>
        <v>0</v>
      </c>
      <c r="BV70" s="52">
        <f t="shared" si="70"/>
        <v>0</v>
      </c>
      <c r="BW70" s="39"/>
      <c r="BX70" s="39">
        <f>'FY 2013 by Agency'!BW70*Inflator!E15</f>
        <v>0</v>
      </c>
      <c r="BY70" s="534"/>
      <c r="BZ70" s="39">
        <f t="shared" si="37"/>
        <v>0</v>
      </c>
      <c r="CA70" s="51" t="e">
        <f t="shared" si="38"/>
        <v>#DIV/0!</v>
      </c>
      <c r="CC70" s="39"/>
    </row>
    <row r="71" spans="1:81" ht="18" customHeight="1">
      <c r="A71" s="63" t="s">
        <v>168</v>
      </c>
      <c r="B71" s="324" t="s">
        <v>78</v>
      </c>
      <c r="C71" s="324" t="s">
        <v>78</v>
      </c>
      <c r="D71" s="324" t="s">
        <v>78</v>
      </c>
      <c r="E71" s="324" t="s">
        <v>78</v>
      </c>
      <c r="F71" s="324" t="s">
        <v>78</v>
      </c>
      <c r="G71" s="324" t="s">
        <v>78</v>
      </c>
      <c r="H71" s="324" t="s">
        <v>78</v>
      </c>
      <c r="I71" s="324" t="s">
        <v>78</v>
      </c>
      <c r="J71" s="324" t="s">
        <v>78</v>
      </c>
      <c r="K71" s="324" t="s">
        <v>78</v>
      </c>
      <c r="L71" s="10">
        <f>'FY 2013 by Agency'!L71*Inflator!$E$6</f>
        <v>0</v>
      </c>
      <c r="M71" s="324" t="s">
        <v>78</v>
      </c>
      <c r="N71" s="324" t="s">
        <v>78</v>
      </c>
      <c r="O71" s="10">
        <f>'FY 2013 by Agency'!O71*Inflator!$E$7</f>
        <v>0</v>
      </c>
      <c r="P71" s="69">
        <v>0</v>
      </c>
      <c r="Q71" s="70">
        <v>0</v>
      </c>
      <c r="R71" s="52">
        <f>'FY 2013 by Agency'!R71*Inflator!$E$8</f>
        <v>0</v>
      </c>
      <c r="S71" s="69">
        <v>0</v>
      </c>
      <c r="T71" s="70">
        <v>0</v>
      </c>
      <c r="U71" s="52">
        <f>'FY 2013 by Agency'!U71*Inflator!$E$9</f>
        <v>65909.482758620681</v>
      </c>
      <c r="V71" s="69">
        <f t="shared" si="64"/>
        <v>65909.482758620681</v>
      </c>
      <c r="W71" s="70" t="s">
        <v>78</v>
      </c>
      <c r="X71" s="52">
        <f>'FY 2013 by Agency'!X71*Inflator!$E$10</f>
        <v>76170.664337885057</v>
      </c>
      <c r="Y71" s="39">
        <f t="shared" si="48"/>
        <v>10261.181579264376</v>
      </c>
      <c r="Z71" s="72">
        <f t="shared" si="71"/>
        <v>0.15568596732648848</v>
      </c>
      <c r="AA71" s="52">
        <f>'FY 2013 by Agency'!AA71*Inflator!$E$11</f>
        <v>35479.276839757891</v>
      </c>
      <c r="AB71" s="39">
        <f t="shared" si="50"/>
        <v>-40691.387498127166</v>
      </c>
      <c r="AC71" s="58">
        <f>AB71/X71</f>
        <v>-0.53421337271819569</v>
      </c>
      <c r="AD71" s="52" t="e">
        <f>'FY 2013 by Agency'!AD71*Inflator!#REF!</f>
        <v>#REF!</v>
      </c>
      <c r="AE71" s="52">
        <f>'FY 2013 by Agency'!AE71*Inflator!$B$8</f>
        <v>0</v>
      </c>
      <c r="AF71" s="52">
        <f>'FY 2013 by Agency'!AF71*Inflator!$E$12</f>
        <v>13880.489348370929</v>
      </c>
      <c r="AG71" s="52">
        <f t="shared" si="52"/>
        <v>-21598.78749138696</v>
      </c>
      <c r="AH71" s="58">
        <f t="shared" si="53"/>
        <v>-0.6087719202659585</v>
      </c>
      <c r="AI71" s="52">
        <f>'FY 2013 by Agency'!AI71*Inflator!$B$8</f>
        <v>0</v>
      </c>
      <c r="AJ71" s="52">
        <f>'FY 2013 by Agency'!AJ71*Inflator!$B$8</f>
        <v>0</v>
      </c>
      <c r="AK71" s="52">
        <f>'FY 2013 by Agency'!AK71</f>
        <v>0</v>
      </c>
      <c r="AL71" s="52">
        <f>'FY 2013 by Agency'!AL71</f>
        <v>0</v>
      </c>
      <c r="AM71" s="52">
        <f>'FY 2013 by Agency'!AM71</f>
        <v>0</v>
      </c>
      <c r="AN71" s="52">
        <f>'FY 2013 by Agency'!AN71</f>
        <v>0</v>
      </c>
      <c r="AO71" s="52">
        <f>'FY 2013 by Agency'!AO71</f>
        <v>14384</v>
      </c>
      <c r="AP71" s="52">
        <f>'FY 2013 by Agency'!AP71</f>
        <v>0</v>
      </c>
      <c r="AQ71" s="52">
        <f>'FY 2013 by Agency'!AQ71</f>
        <v>0</v>
      </c>
      <c r="AR71" s="52">
        <f>'FY 2013 by Agency'!AR71</f>
        <v>0</v>
      </c>
      <c r="AS71" s="52">
        <f>'FY 2013 by Agency'!AS71</f>
        <v>34018.224999999999</v>
      </c>
      <c r="AT71" s="52" t="e">
        <f t="shared" si="54"/>
        <v>#REF!</v>
      </c>
      <c r="AU71" s="58" t="e">
        <f t="shared" si="55"/>
        <v>#REF!</v>
      </c>
      <c r="AV71" s="52">
        <f t="shared" si="56"/>
        <v>20137.735651629067</v>
      </c>
      <c r="AW71" s="58">
        <f t="shared" si="57"/>
        <v>1.4507943593496229</v>
      </c>
      <c r="AX71" s="39">
        <v>14384</v>
      </c>
      <c r="AY71" s="39">
        <v>14384</v>
      </c>
      <c r="AZ71" s="39">
        <f t="shared" si="58"/>
        <v>0</v>
      </c>
      <c r="BA71" s="39">
        <f t="shared" si="59"/>
        <v>20137.735651629067</v>
      </c>
      <c r="BB71" s="39">
        <f t="shared" si="60"/>
        <v>34018.224999999999</v>
      </c>
      <c r="BC71" s="58">
        <f t="shared" si="61"/>
        <v>1.4507943593496231</v>
      </c>
      <c r="BD71" s="289"/>
      <c r="BI71" s="219">
        <v>14384</v>
      </c>
      <c r="BJ71" s="39">
        <f t="shared" si="66"/>
        <v>0</v>
      </c>
      <c r="BK71" s="65">
        <f t="shared" si="67"/>
        <v>14384</v>
      </c>
      <c r="BL71" s="568">
        <f>'FY 2013 by Agency'!AS71*Inflator!$E$13</f>
        <v>35274.314479707056</v>
      </c>
      <c r="BM71" s="256">
        <f t="shared" si="68"/>
        <v>21393.825131336125</v>
      </c>
      <c r="BN71" s="51">
        <f t="shared" si="69"/>
        <v>1.5412875291638757</v>
      </c>
      <c r="BO71" s="52">
        <f>'FY 2013 by Agency'!AX71*Inflator!$E$13</f>
        <v>41867.880988709192</v>
      </c>
      <c r="BP71" s="52">
        <f t="shared" si="32"/>
        <v>27987.391640338261</v>
      </c>
      <c r="BQ71" s="51">
        <f t="shared" si="33"/>
        <v>2.0163115966529648</v>
      </c>
      <c r="BR71" s="52">
        <f>'FY 2013 by Agency'!BE71*Inflator!$E$14</f>
        <v>25275.47865034339</v>
      </c>
      <c r="BS71" s="52">
        <f t="shared" si="34"/>
        <v>-16592.402338365802</v>
      </c>
      <c r="BT71" s="51">
        <f t="shared" si="35"/>
        <v>-0.39630384787900763</v>
      </c>
      <c r="BU71" s="52">
        <f>'FY 2013 by Agency'!BL71*Inflator!$E$14</f>
        <v>25275.47865034339</v>
      </c>
      <c r="BV71" s="52">
        <f t="shared" si="70"/>
        <v>-9998.8358293636666</v>
      </c>
      <c r="BW71" s="39">
        <v>25460</v>
      </c>
      <c r="BX71" s="39">
        <f>'FY 2013 by Agency'!BW71*Inflator!E15</f>
        <v>25460</v>
      </c>
      <c r="BY71" s="534">
        <v>15000</v>
      </c>
      <c r="BZ71" s="39">
        <f t="shared" si="37"/>
        <v>184.52134965661025</v>
      </c>
      <c r="CA71" s="51">
        <f t="shared" si="38"/>
        <v>7.3004097057565859E-3</v>
      </c>
      <c r="CC71" s="39"/>
    </row>
    <row r="72" spans="1:81" s="63" customFormat="1" ht="18" customHeight="1">
      <c r="A72" s="63" t="s">
        <v>124</v>
      </c>
      <c r="B72" s="324" t="s">
        <v>78</v>
      </c>
      <c r="C72" s="324" t="s">
        <v>78</v>
      </c>
      <c r="D72" s="324" t="s">
        <v>78</v>
      </c>
      <c r="E72" s="324" t="s">
        <v>78</v>
      </c>
      <c r="F72" s="324" t="s">
        <v>78</v>
      </c>
      <c r="G72" s="324" t="s">
        <v>78</v>
      </c>
      <c r="H72" s="324" t="s">
        <v>78</v>
      </c>
      <c r="I72" s="324" t="s">
        <v>78</v>
      </c>
      <c r="J72" s="324" t="s">
        <v>78</v>
      </c>
      <c r="K72" s="324" t="s">
        <v>78</v>
      </c>
      <c r="L72" s="324" t="s">
        <v>78</v>
      </c>
      <c r="M72" s="324" t="s">
        <v>78</v>
      </c>
      <c r="N72" s="324" t="s">
        <v>78</v>
      </c>
      <c r="O72" s="324" t="s">
        <v>78</v>
      </c>
      <c r="P72" s="324" t="s">
        <v>78</v>
      </c>
      <c r="Q72" s="324" t="s">
        <v>78</v>
      </c>
      <c r="R72" s="324" t="s">
        <v>78</v>
      </c>
      <c r="S72" s="324" t="s">
        <v>78</v>
      </c>
      <c r="T72" s="324" t="s">
        <v>78</v>
      </c>
      <c r="U72" s="324" t="s">
        <v>78</v>
      </c>
      <c r="V72" s="324" t="s">
        <v>78</v>
      </c>
      <c r="W72" s="324" t="s">
        <v>78</v>
      </c>
      <c r="X72" s="324" t="s">
        <v>78</v>
      </c>
      <c r="Y72" s="324" t="s">
        <v>78</v>
      </c>
      <c r="Z72" s="145" t="s">
        <v>127</v>
      </c>
      <c r="AA72" s="52">
        <f>'FY 2013 by Agency'!AA72*Inflator!$E$11</f>
        <v>2706.2758840395036</v>
      </c>
      <c r="AB72" s="487" t="e">
        <f>AA72-X72</f>
        <v>#VALUE!</v>
      </c>
      <c r="AC72" s="241" t="e">
        <f>AB72/X72</f>
        <v>#VALUE!</v>
      </c>
      <c r="AD72" s="52" t="e">
        <f>'FY 2013 by Agency'!AD72*Inflator!#REF!</f>
        <v>#REF!</v>
      </c>
      <c r="AE72" s="52">
        <f>'FY 2013 by Agency'!AE72*Inflator!$B$8</f>
        <v>0</v>
      </c>
      <c r="AF72" s="52">
        <f>'FY 2013 by Agency'!AF72*Inflator!$E$12</f>
        <v>0</v>
      </c>
      <c r="AG72" s="52">
        <f t="shared" si="52"/>
        <v>-2706.2758840395036</v>
      </c>
      <c r="AH72" s="58">
        <f t="shared" si="53"/>
        <v>-1</v>
      </c>
      <c r="AI72" s="52">
        <f>'FY 2013 by Agency'!AI72*Inflator!$B$8</f>
        <v>0</v>
      </c>
      <c r="AJ72" s="52">
        <f>'FY 2013 by Agency'!AJ72*Inflator!$B$8</f>
        <v>0</v>
      </c>
      <c r="AK72" s="52">
        <f>'FY 2013 by Agency'!AK72</f>
        <v>0</v>
      </c>
      <c r="AL72" s="52">
        <f>'FY 2013 by Agency'!AL72</f>
        <v>0</v>
      </c>
      <c r="AM72" s="52">
        <f>'FY 2013 by Agency'!AM72</f>
        <v>0</v>
      </c>
      <c r="AN72" s="52">
        <f>'FY 2013 by Agency'!AN72</f>
        <v>0</v>
      </c>
      <c r="AO72" s="52">
        <f>'FY 2013 by Agency'!AO72</f>
        <v>0</v>
      </c>
      <c r="AP72" s="52">
        <f>'FY 2013 by Agency'!AP72</f>
        <v>0</v>
      </c>
      <c r="AQ72" s="52">
        <f>'FY 2013 by Agency'!AQ72</f>
        <v>0</v>
      </c>
      <c r="AR72" s="52">
        <f>'FY 2013 by Agency'!AR72</f>
        <v>0</v>
      </c>
      <c r="AS72" s="52">
        <f>'FY 2013 by Agency'!AS72</f>
        <v>0</v>
      </c>
      <c r="AT72" s="52" t="e">
        <f t="shared" si="54"/>
        <v>#REF!</v>
      </c>
      <c r="AU72" s="58" t="e">
        <f t="shared" si="55"/>
        <v>#REF!</v>
      </c>
      <c r="AV72" s="52">
        <f t="shared" si="56"/>
        <v>0</v>
      </c>
      <c r="AW72" s="58" t="e">
        <f t="shared" si="57"/>
        <v>#DIV/0!</v>
      </c>
      <c r="AX72" s="39"/>
      <c r="AY72" s="39"/>
      <c r="AZ72" s="39">
        <f t="shared" si="58"/>
        <v>0</v>
      </c>
      <c r="BA72" s="39">
        <f t="shared" si="59"/>
        <v>0</v>
      </c>
      <c r="BB72" s="39">
        <f t="shared" si="60"/>
        <v>0</v>
      </c>
      <c r="BC72" s="58" t="e">
        <f t="shared" si="61"/>
        <v>#DIV/0!</v>
      </c>
      <c r="BD72" s="289"/>
      <c r="BE72" s="280"/>
      <c r="BI72" s="80"/>
      <c r="BJ72" s="39">
        <f t="shared" si="66"/>
        <v>0</v>
      </c>
      <c r="BK72" s="65">
        <f t="shared" si="67"/>
        <v>0</v>
      </c>
      <c r="BL72" s="568">
        <f>'FY 2013 by Agency'!AS72*Inflator!$E$13</f>
        <v>0</v>
      </c>
      <c r="BM72" s="256">
        <f t="shared" si="68"/>
        <v>0</v>
      </c>
      <c r="BN72" s="51" t="e">
        <f t="shared" si="69"/>
        <v>#DIV/0!</v>
      </c>
      <c r="BO72" s="52">
        <f>'FY 2013 by Agency'!AX72*Inflator!$E$13</f>
        <v>0</v>
      </c>
      <c r="BP72" s="52">
        <f t="shared" si="32"/>
        <v>0</v>
      </c>
      <c r="BQ72" s="51" t="e">
        <f t="shared" si="33"/>
        <v>#DIV/0!</v>
      </c>
      <c r="BR72" s="52">
        <f>'FY 2013 by Agency'!BE72*Inflator!$E$14</f>
        <v>0</v>
      </c>
      <c r="BS72" s="52">
        <f t="shared" si="34"/>
        <v>0</v>
      </c>
      <c r="BT72" s="51" t="e">
        <f t="shared" si="35"/>
        <v>#DIV/0!</v>
      </c>
      <c r="BU72" s="69">
        <f>'FY 2013 by Agency'!BL72*Inflator!$E$14</f>
        <v>0</v>
      </c>
      <c r="BV72" s="52">
        <f t="shared" si="70"/>
        <v>0</v>
      </c>
      <c r="BW72" s="39">
        <v>0</v>
      </c>
      <c r="BX72" s="39">
        <f>'FY 2013 by Agency'!BW72*Inflator!E15</f>
        <v>0</v>
      </c>
      <c r="BY72" s="534"/>
      <c r="BZ72" s="39">
        <f t="shared" ref="BZ72:BZ135" si="72">BW72-BR72</f>
        <v>0</v>
      </c>
      <c r="CA72" s="51" t="e">
        <f t="shared" ref="CA72:CA135" si="73">BZ72/BR72</f>
        <v>#DIV/0!</v>
      </c>
      <c r="CC72" s="39"/>
    </row>
    <row r="73" spans="1:81" s="54" customFormat="1" ht="18" customHeight="1" thickBot="1">
      <c r="A73" s="130" t="s">
        <v>215</v>
      </c>
      <c r="B73" s="328" t="s">
        <v>78</v>
      </c>
      <c r="C73" s="328" t="s">
        <v>78</v>
      </c>
      <c r="D73" s="328" t="s">
        <v>78</v>
      </c>
      <c r="E73" s="328" t="s">
        <v>78</v>
      </c>
      <c r="F73" s="328" t="s">
        <v>78</v>
      </c>
      <c r="G73" s="328" t="s">
        <v>78</v>
      </c>
      <c r="H73" s="328" t="s">
        <v>78</v>
      </c>
      <c r="I73" s="328" t="s">
        <v>78</v>
      </c>
      <c r="J73" s="328" t="s">
        <v>78</v>
      </c>
      <c r="K73" s="328" t="s">
        <v>78</v>
      </c>
      <c r="L73" s="328" t="s">
        <v>78</v>
      </c>
      <c r="M73" s="328" t="s">
        <v>78</v>
      </c>
      <c r="N73" s="328" t="s">
        <v>78</v>
      </c>
      <c r="O73" s="328" t="s">
        <v>78</v>
      </c>
      <c r="P73" s="328" t="s">
        <v>78</v>
      </c>
      <c r="Q73" s="328" t="s">
        <v>78</v>
      </c>
      <c r="R73" s="328" t="s">
        <v>78</v>
      </c>
      <c r="S73" s="328" t="s">
        <v>78</v>
      </c>
      <c r="T73" s="328" t="s">
        <v>78</v>
      </c>
      <c r="U73" s="328" t="s">
        <v>78</v>
      </c>
      <c r="V73" s="328" t="s">
        <v>78</v>
      </c>
      <c r="W73" s="328" t="s">
        <v>78</v>
      </c>
      <c r="X73" s="328" t="s">
        <v>78</v>
      </c>
      <c r="Y73" s="328" t="s">
        <v>78</v>
      </c>
      <c r="AA73" s="75">
        <f>'FY 2013 by Agency'!AA73*Inflator!$E$11</f>
        <v>0</v>
      </c>
      <c r="AB73" s="488" t="e">
        <f>AA73-X73</f>
        <v>#VALUE!</v>
      </c>
      <c r="AC73" s="249" t="e">
        <f>AB73/X73</f>
        <v>#VALUE!</v>
      </c>
      <c r="AD73" s="75" t="e">
        <f>'FY 2013 by Agency'!AD73*Inflator!#REF!</f>
        <v>#REF!</v>
      </c>
      <c r="AE73" s="75">
        <f>'FY 2013 by Agency'!AE73*Inflator!$B$8</f>
        <v>0</v>
      </c>
      <c r="AF73" s="75">
        <f>'FY 2013 by Agency'!AF73*Inflator!$E$12</f>
        <v>0</v>
      </c>
      <c r="AG73" s="75">
        <f t="shared" si="52"/>
        <v>0</v>
      </c>
      <c r="AH73" s="77" t="e">
        <f t="shared" si="53"/>
        <v>#DIV/0!</v>
      </c>
      <c r="AI73" s="75">
        <f>'FY 2013 by Agency'!AI73*Inflator!$B$8</f>
        <v>0</v>
      </c>
      <c r="AJ73" s="75">
        <f>'FY 2013 by Agency'!AJ73*Inflator!$B$8</f>
        <v>0</v>
      </c>
      <c r="AK73" s="75">
        <f>'FY 2013 by Agency'!AK73</f>
        <v>0</v>
      </c>
      <c r="AL73" s="75">
        <f>'FY 2013 by Agency'!AL73</f>
        <v>0</v>
      </c>
      <c r="AM73" s="75">
        <f>'FY 2013 by Agency'!AM73</f>
        <v>0</v>
      </c>
      <c r="AN73" s="75">
        <f>'FY 2013 by Agency'!AN73</f>
        <v>0</v>
      </c>
      <c r="AO73" s="75">
        <f>'FY 2013 by Agency'!AO73</f>
        <v>23000</v>
      </c>
      <c r="AP73" s="75">
        <f>'FY 2013 by Agency'!AP73</f>
        <v>0</v>
      </c>
      <c r="AQ73" s="75">
        <f>'FY 2013 by Agency'!AQ73</f>
        <v>0</v>
      </c>
      <c r="AR73" s="75">
        <f>'FY 2013 by Agency'!AR73</f>
        <v>0</v>
      </c>
      <c r="AS73" s="75">
        <f>'FY 2013 by Agency'!AS73</f>
        <v>20787.692579999999</v>
      </c>
      <c r="AT73" s="75" t="e">
        <f t="shared" si="54"/>
        <v>#REF!</v>
      </c>
      <c r="AU73" s="77" t="e">
        <f t="shared" si="55"/>
        <v>#REF!</v>
      </c>
      <c r="AV73" s="75">
        <f t="shared" si="56"/>
        <v>20787.692579999999</v>
      </c>
      <c r="AW73" s="77" t="e">
        <f t="shared" si="57"/>
        <v>#DIV/0!</v>
      </c>
      <c r="AX73" s="102">
        <v>23000</v>
      </c>
      <c r="AY73" s="102">
        <v>23000</v>
      </c>
      <c r="AZ73" s="102">
        <f t="shared" si="58"/>
        <v>0</v>
      </c>
      <c r="BA73" s="102">
        <f t="shared" si="59"/>
        <v>20787.692579999999</v>
      </c>
      <c r="BB73" s="102">
        <f t="shared" si="60"/>
        <v>20787.692579999999</v>
      </c>
      <c r="BC73" s="77" t="e">
        <f t="shared" si="61"/>
        <v>#DIV/0!</v>
      </c>
      <c r="BD73" s="294"/>
      <c r="BE73" s="283"/>
      <c r="BI73" s="94">
        <v>23000</v>
      </c>
      <c r="BJ73" s="102">
        <f t="shared" si="66"/>
        <v>0</v>
      </c>
      <c r="BK73" s="94">
        <f t="shared" si="67"/>
        <v>23000</v>
      </c>
      <c r="BL73" s="570">
        <f>'FY 2013 by Agency'!AS73*Inflator!$E$13</f>
        <v>21555.257670686606</v>
      </c>
      <c r="BM73" s="256">
        <f t="shared" si="68"/>
        <v>21555.257670686606</v>
      </c>
      <c r="BN73" s="55" t="e">
        <f t="shared" si="69"/>
        <v>#DIV/0!</v>
      </c>
      <c r="BO73" s="75">
        <f>'FY 2013 by Agency'!AX73*Inflator!$E$13</f>
        <v>23849.252364967964</v>
      </c>
      <c r="BP73" s="75">
        <f t="shared" ref="BP73:BP133" si="74">BO73-AF73</f>
        <v>23849.252364967964</v>
      </c>
      <c r="BQ73" s="55" t="e">
        <f t="shared" ref="BQ73:BQ133" si="75">BP73/AF73</f>
        <v>#DIV/0!</v>
      </c>
      <c r="BR73" s="75">
        <f>'FY 2013 by Agency'!BE73*Inflator!$E$14</f>
        <v>23336.518363690655</v>
      </c>
      <c r="BS73" s="75">
        <f t="shared" ref="BS73:BS133" si="76">BR73-BO73</f>
        <v>-512.73400127730929</v>
      </c>
      <c r="BT73" s="55">
        <f t="shared" ref="BT73:BT133" si="77">BS73/BO73</f>
        <v>-2.1498954911914198E-2</v>
      </c>
      <c r="BU73" s="75">
        <f>'FY 2013 by Agency'!BL73*Inflator!$E$14</f>
        <v>23336.518363690655</v>
      </c>
      <c r="BV73" s="52">
        <f t="shared" si="70"/>
        <v>1781.2606930040492</v>
      </c>
      <c r="BW73" s="102">
        <v>23000</v>
      </c>
      <c r="BX73" s="39">
        <f>'FY 2013 by Agency'!BW73*Inflator!E15</f>
        <v>23000</v>
      </c>
      <c r="BY73" s="247">
        <v>23000</v>
      </c>
      <c r="BZ73" s="39">
        <f t="shared" si="72"/>
        <v>-336.51836369065495</v>
      </c>
      <c r="CA73" s="51">
        <f t="shared" si="73"/>
        <v>-1.442024720423783E-2</v>
      </c>
      <c r="CC73" s="39"/>
    </row>
    <row r="74" spans="1:81" s="13" customFormat="1" ht="18" customHeight="1">
      <c r="A74" s="64" t="s">
        <v>56</v>
      </c>
      <c r="B74" s="322">
        <f>'FY 2013 by Agency'!B74*Inflator!$E$2</f>
        <v>122608.45693779906</v>
      </c>
      <c r="C74" s="322">
        <f>'FY 2013 by Agency'!C74*Inflator!$E$3</f>
        <v>140688.75425038641</v>
      </c>
      <c r="D74" s="47">
        <f t="shared" ref="D74:D133" si="78">C74-B74</f>
        <v>18080.297312587354</v>
      </c>
      <c r="E74" s="356">
        <f t="shared" ref="E74:E133" si="79">(C74-B74)/B74</f>
        <v>0.14746370490381211</v>
      </c>
      <c r="F74" s="10">
        <f>'FY 2013 by Agency'!F74*Inflator!$E$4</f>
        <v>147747.67872097451</v>
      </c>
      <c r="G74" s="12">
        <f t="shared" ref="G74:G133" si="80">F74-C74</f>
        <v>7058.9244705880992</v>
      </c>
      <c r="H74" s="15">
        <f t="shared" ref="H74:H133" si="81">(F74-C74)/C74</f>
        <v>5.0174049149836093E-2</v>
      </c>
      <c r="I74" s="10">
        <f>'FY 2013 by Agency'!I74*Inflator!$E$5</f>
        <v>170524.25139457051</v>
      </c>
      <c r="J74" s="12">
        <f t="shared" ref="J74:J133" si="82">I74-F74</f>
        <v>22776.572673596005</v>
      </c>
      <c r="K74" s="15">
        <f t="shared" ref="K74:K133" si="83">(I74-F74)/F74</f>
        <v>0.15415858219072381</v>
      </c>
      <c r="L74" s="10">
        <f>'FY 2013 by Agency'!L74*Inflator!$E$6</f>
        <v>186889.99999999997</v>
      </c>
      <c r="M74" s="10">
        <f t="shared" ref="M74:M133" si="84">L74-I74</f>
        <v>16365.748605429457</v>
      </c>
      <c r="N74" s="14">
        <f t="shared" ref="N74:N133" si="85">(L74-I74)/I74</f>
        <v>9.5973144415460787E-2</v>
      </c>
      <c r="O74" s="10">
        <f>'FY 2013 by Agency'!O74*Inflator!$E$7</f>
        <v>236330.24216825058</v>
      </c>
      <c r="P74" s="12">
        <f t="shared" si="63"/>
        <v>49440.24216825061</v>
      </c>
      <c r="Q74" s="36">
        <f t="shared" si="45"/>
        <v>0.26454193465809095</v>
      </c>
      <c r="R74" s="52">
        <f>'FY 2013 by Agency'!R74*Inflator!$E$8</f>
        <v>290390.58859470469</v>
      </c>
      <c r="S74" s="12">
        <f t="shared" si="46"/>
        <v>54060.346426454111</v>
      </c>
      <c r="T74" s="36">
        <f t="shared" si="47"/>
        <v>0.22874916866529055</v>
      </c>
      <c r="U74" s="52">
        <f>'FY 2013 by Agency'!U74*Inflator!$E$9</f>
        <v>420592.63262599468</v>
      </c>
      <c r="V74" s="12" t="e">
        <f>SUM(V51:V73)</f>
        <v>#VALUE!</v>
      </c>
      <c r="W74" s="36" t="e">
        <f t="shared" ref="W74" si="86">V74/R74</f>
        <v>#VALUE!</v>
      </c>
      <c r="X74" s="52">
        <f>'FY 2013 by Agency'!X74*Inflator!$E$10</f>
        <v>435146.86567164183</v>
      </c>
      <c r="Y74" s="12" t="e">
        <f>SUM(Y51:Y73)</f>
        <v>#VALUE!</v>
      </c>
      <c r="Z74" s="45" t="e">
        <f t="shared" ref="Z74" si="87">Y74/U74</f>
        <v>#VALUE!</v>
      </c>
      <c r="AA74" s="52">
        <f>'FY 2013 by Agency'!AA74*Inflator!$E$11</f>
        <v>423284.2809812043</v>
      </c>
      <c r="AB74" s="136">
        <f>AA74-X74</f>
        <v>-11862.584690437536</v>
      </c>
      <c r="AC74" s="137">
        <f>AB74/X74</f>
        <v>-2.7261105677798773E-2</v>
      </c>
      <c r="AD74" s="12" t="e">
        <f>'FY 2013 by Agency'!AD74*Inflator!#REF!</f>
        <v>#REF!</v>
      </c>
      <c r="AE74" s="12">
        <f>SUM(AE51:AE73)</f>
        <v>0</v>
      </c>
      <c r="AF74" s="52">
        <f>'FY 2013 by Agency'!AF74*Inflator!$E$12</f>
        <v>283022.95426065166</v>
      </c>
      <c r="AG74" s="12">
        <f>AF74-AA74</f>
        <v>-140261.32672055264</v>
      </c>
      <c r="AH74" s="36">
        <f>AG74/AA74</f>
        <v>-0.3313643643827654</v>
      </c>
      <c r="AI74" s="12">
        <f t="shared" ref="AI74:AS74" si="88">SUM(AI51:AI73)</f>
        <v>0</v>
      </c>
      <c r="AJ74" s="12">
        <f t="shared" si="88"/>
        <v>0</v>
      </c>
      <c r="AK74" s="12">
        <f t="shared" si="88"/>
        <v>96729</v>
      </c>
      <c r="AL74" s="12">
        <f t="shared" si="88"/>
        <v>40131</v>
      </c>
      <c r="AM74" s="12">
        <f t="shared" si="88"/>
        <v>136860</v>
      </c>
      <c r="AN74" s="12">
        <f t="shared" si="88"/>
        <v>102735</v>
      </c>
      <c r="AO74" s="12">
        <f t="shared" si="88"/>
        <v>262932</v>
      </c>
      <c r="AP74" s="12">
        <f t="shared" si="88"/>
        <v>19495</v>
      </c>
      <c r="AQ74" s="12">
        <f t="shared" si="88"/>
        <v>2148</v>
      </c>
      <c r="AR74" s="12">
        <f t="shared" si="88"/>
        <v>21643</v>
      </c>
      <c r="AS74" s="12">
        <f t="shared" si="88"/>
        <v>277041.65782999998</v>
      </c>
      <c r="AT74" s="12" t="e">
        <f t="shared" si="54"/>
        <v>#REF!</v>
      </c>
      <c r="AU74" s="36" t="e">
        <f t="shared" si="55"/>
        <v>#REF!</v>
      </c>
      <c r="AV74" s="12">
        <f t="shared" si="56"/>
        <v>-5981.2964306516806</v>
      </c>
      <c r="AW74" s="36">
        <f t="shared" si="57"/>
        <v>-2.1133608919731543E-2</v>
      </c>
      <c r="AX74" s="30"/>
      <c r="AY74" s="30">
        <f>SUM(AY51:AY73)</f>
        <v>266785</v>
      </c>
      <c r="AZ74" s="30">
        <f>SUM(AZ51:AZ73)</f>
        <v>3853</v>
      </c>
      <c r="BA74" s="30"/>
      <c r="BB74" s="30">
        <f>SUM(BB51:BB73)</f>
        <v>280894.65782999998</v>
      </c>
      <c r="BC74" s="36">
        <f t="shared" si="61"/>
        <v>-7.5198721468069385E-3</v>
      </c>
      <c r="BD74" s="30">
        <f>SUM(BD51:BD73)</f>
        <v>5093.1750000000002</v>
      </c>
      <c r="BE74" s="15">
        <f>BD74/AY74</f>
        <v>1.9090934647750062E-2</v>
      </c>
      <c r="BF74" s="15">
        <f>(BB74-X74)/X74</f>
        <v>-0.35448309527303196</v>
      </c>
      <c r="BI74" s="28">
        <f>SUM(BI51:BI73)</f>
        <v>256884</v>
      </c>
      <c r="BJ74" s="30">
        <f t="shared" si="66"/>
        <v>-9901</v>
      </c>
      <c r="BK74" s="28">
        <f>SUM(BK51:BK73)</f>
        <v>305320</v>
      </c>
      <c r="BL74" s="564">
        <f>SUM(BL51:BL73)</f>
        <v>287271.14839985967</v>
      </c>
      <c r="BM74" s="256">
        <f t="shared" si="68"/>
        <v>4248.1941392080043</v>
      </c>
      <c r="BN74" s="15">
        <f t="shared" si="69"/>
        <v>1.5010069237336859E-2</v>
      </c>
      <c r="BO74" s="12">
        <f>'FY 2013 by Agency'!AX74*Inflator!$E$13</f>
        <v>296459.68690875807</v>
      </c>
      <c r="BP74" s="12">
        <f t="shared" si="74"/>
        <v>13436.732648106408</v>
      </c>
      <c r="BQ74" s="15">
        <f t="shared" si="75"/>
        <v>4.7475769883073761E-2</v>
      </c>
      <c r="BR74" s="12">
        <f>'FY 2013 by Agency'!BE74*Inflator!$E$14</f>
        <v>272596.91489997017</v>
      </c>
      <c r="BS74" s="12">
        <f t="shared" si="76"/>
        <v>-23862.772008787899</v>
      </c>
      <c r="BT74" s="15">
        <f t="shared" si="77"/>
        <v>-8.0492468495833594E-2</v>
      </c>
      <c r="BU74" s="12">
        <f>SUM(BU51:BU73)</f>
        <v>290749.68229322188</v>
      </c>
      <c r="BV74" s="52">
        <f t="shared" si="70"/>
        <v>3478.5338933622115</v>
      </c>
      <c r="BW74" s="30">
        <f>SUM(BW51:BW73)</f>
        <v>297349</v>
      </c>
      <c r="BX74" s="12">
        <f>SUM(BX51:BX73)</f>
        <v>325279</v>
      </c>
      <c r="BY74" s="33">
        <f>SUM(BY51:BY73)</f>
        <v>291790</v>
      </c>
      <c r="BZ74" s="39">
        <f t="shared" si="72"/>
        <v>24752.085100029828</v>
      </c>
      <c r="CA74" s="51">
        <f t="shared" si="73"/>
        <v>9.0801046332870797E-2</v>
      </c>
      <c r="CC74" s="39"/>
    </row>
    <row r="75" spans="1:81" s="13" customFormat="1" ht="18" customHeight="1">
      <c r="A75" s="64" t="s">
        <v>244</v>
      </c>
      <c r="B75" s="322"/>
      <c r="C75" s="322"/>
      <c r="D75" s="322"/>
      <c r="E75" s="351"/>
      <c r="F75" s="10"/>
      <c r="G75" s="10"/>
      <c r="H75" s="14"/>
      <c r="I75" s="10"/>
      <c r="J75" s="10"/>
      <c r="K75" s="14"/>
      <c r="L75" s="10"/>
      <c r="M75" s="10"/>
      <c r="N75" s="14"/>
      <c r="O75" s="10"/>
      <c r="P75" s="12"/>
      <c r="Q75" s="36"/>
      <c r="R75" s="52"/>
      <c r="S75" s="52"/>
      <c r="T75" s="58"/>
      <c r="U75" s="52"/>
      <c r="V75" s="52"/>
      <c r="W75" s="58"/>
      <c r="X75" s="52"/>
      <c r="Y75" s="39"/>
      <c r="Z75" s="58"/>
      <c r="AA75" s="52"/>
      <c r="AC75" s="28"/>
      <c r="AD75" s="52" t="e">
        <f>'FY 2013 by Agency'!AD75*Inflator!#REF!</f>
        <v>#REF!</v>
      </c>
      <c r="AE75" s="180"/>
      <c r="AF75" s="52"/>
      <c r="AG75" s="163"/>
      <c r="AH75" s="163"/>
      <c r="AI75" s="163"/>
      <c r="AM75" s="84"/>
      <c r="AN75" s="172"/>
      <c r="AO75" s="97"/>
      <c r="AP75" s="12"/>
      <c r="AQ75" s="12"/>
      <c r="AR75" s="12"/>
      <c r="AS75" s="58" t="e">
        <f>AS74/AF76-1</f>
        <v>#DIV/0!</v>
      </c>
      <c r="AT75" s="52"/>
      <c r="AU75" s="30"/>
      <c r="AV75" s="97"/>
      <c r="AW75" s="136"/>
      <c r="AZ75" s="30">
        <f>+AZ71+AZ58+AZ57+AZ56</f>
        <v>-242</v>
      </c>
      <c r="BA75" s="30"/>
      <c r="BD75" s="292"/>
      <c r="BE75" s="300"/>
      <c r="BI75" s="28"/>
      <c r="BK75" s="319"/>
      <c r="BL75" s="567"/>
      <c r="BM75" s="12"/>
      <c r="BN75" s="287"/>
      <c r="BP75" s="52"/>
      <c r="BQ75" s="50"/>
      <c r="BR75" s="52"/>
      <c r="BS75" s="52"/>
      <c r="BT75" s="50"/>
      <c r="BU75" s="256"/>
      <c r="BV75" s="256"/>
      <c r="BW75" s="39"/>
      <c r="BY75" s="534"/>
      <c r="BZ75" s="39">
        <f t="shared" si="72"/>
        <v>0</v>
      </c>
      <c r="CA75" s="51" t="e">
        <f t="shared" si="73"/>
        <v>#DIV/0!</v>
      </c>
      <c r="CC75" s="39"/>
    </row>
    <row r="76" spans="1:81" s="13" customFormat="1" ht="18" customHeight="1">
      <c r="A76" s="64" t="s">
        <v>246</v>
      </c>
      <c r="B76" s="322"/>
      <c r="C76" s="322"/>
      <c r="D76" s="322"/>
      <c r="E76" s="351"/>
      <c r="F76" s="10"/>
      <c r="G76" s="10"/>
      <c r="H76" s="14"/>
      <c r="I76" s="10"/>
      <c r="J76" s="10"/>
      <c r="K76" s="14"/>
      <c r="L76" s="10"/>
      <c r="M76" s="10"/>
      <c r="N76" s="14"/>
      <c r="O76" s="10"/>
      <c r="P76" s="12"/>
      <c r="Q76" s="36"/>
      <c r="R76" s="52"/>
      <c r="S76" s="52"/>
      <c r="T76" s="58"/>
      <c r="U76" s="52"/>
      <c r="V76" s="52"/>
      <c r="W76" s="58"/>
      <c r="X76" s="52">
        <f>X74-(X56+X57+X58+X71)</f>
        <v>183720.76341695775</v>
      </c>
      <c r="Y76" s="39"/>
      <c r="Z76" s="58"/>
      <c r="AA76" s="52"/>
      <c r="AC76" s="28"/>
      <c r="AD76" s="52" t="e">
        <f>'FY 2013 by Agency'!AD76*Inflator!#REF!</f>
        <v>#REF!</v>
      </c>
      <c r="AE76" s="180"/>
      <c r="AF76" s="52"/>
      <c r="AG76" s="163"/>
      <c r="AH76" s="163"/>
      <c r="AI76" s="163"/>
      <c r="AM76" s="84"/>
      <c r="AN76" s="172"/>
      <c r="AO76" s="97"/>
      <c r="AP76" s="12"/>
      <c r="AQ76" s="12"/>
      <c r="AR76" s="12"/>
      <c r="AS76" s="52"/>
      <c r="AT76" s="52" t="e">
        <f>AR74-AD76</f>
        <v>#REF!</v>
      </c>
      <c r="AU76" s="36" t="e">
        <f>AT76/AD76</f>
        <v>#REF!</v>
      </c>
      <c r="AV76" s="12">
        <f>AS74-AF76</f>
        <v>277041.65782999998</v>
      </c>
      <c r="AW76" s="137" t="e">
        <f>AV76/AF76</f>
        <v>#DIV/0!</v>
      </c>
      <c r="AX76" s="30"/>
      <c r="AZ76" s="30">
        <f>+AS74+AZ74</f>
        <v>280894.65782999998</v>
      </c>
      <c r="BD76" s="292"/>
      <c r="BE76" s="300"/>
      <c r="BI76" s="28"/>
      <c r="BK76" s="319"/>
      <c r="BL76" s="567"/>
      <c r="BM76" s="12"/>
      <c r="BN76" s="287"/>
      <c r="BP76" s="52"/>
      <c r="BQ76" s="50"/>
      <c r="BR76" s="52"/>
      <c r="BS76" s="52"/>
      <c r="BT76" s="50"/>
      <c r="BU76" s="256"/>
      <c r="BV76" s="256"/>
      <c r="BW76" s="39"/>
      <c r="BY76" s="534"/>
      <c r="BZ76" s="39">
        <f t="shared" si="72"/>
        <v>0</v>
      </c>
      <c r="CA76" s="51" t="e">
        <f t="shared" si="73"/>
        <v>#DIV/0!</v>
      </c>
      <c r="CC76" s="39"/>
    </row>
    <row r="77" spans="1:81" s="13" customFormat="1" ht="18" customHeight="1">
      <c r="A77" s="64"/>
      <c r="B77" s="322"/>
      <c r="C77" s="322"/>
      <c r="D77" s="322"/>
      <c r="E77" s="351"/>
      <c r="F77" s="10"/>
      <c r="G77" s="10"/>
      <c r="H77" s="14"/>
      <c r="I77" s="10"/>
      <c r="J77" s="10"/>
      <c r="K77" s="14"/>
      <c r="L77" s="10"/>
      <c r="M77" s="10"/>
      <c r="N77" s="14"/>
      <c r="O77" s="10"/>
      <c r="P77" s="12"/>
      <c r="Q77" s="36"/>
      <c r="R77" s="52"/>
      <c r="S77" s="52"/>
      <c r="T77" s="58"/>
      <c r="U77" s="52"/>
      <c r="V77" s="52"/>
      <c r="W77" s="58"/>
      <c r="X77" s="52"/>
      <c r="Y77" s="39"/>
      <c r="Z77" s="58"/>
      <c r="AA77" s="52"/>
      <c r="AC77" s="28"/>
      <c r="AD77" s="52"/>
      <c r="AE77" s="180"/>
      <c r="AF77" s="163"/>
      <c r="AG77" s="163"/>
      <c r="AH77" s="163"/>
      <c r="AI77" s="163"/>
      <c r="AM77" s="84"/>
      <c r="AN77" s="172"/>
      <c r="AO77" s="97"/>
      <c r="AP77" s="12"/>
      <c r="AQ77" s="12"/>
      <c r="AR77" s="12"/>
      <c r="AS77" s="52"/>
      <c r="AT77" s="52"/>
      <c r="AU77" s="30"/>
      <c r="AV77" s="97"/>
      <c r="AW77" s="136"/>
      <c r="BD77" s="292"/>
      <c r="BE77" s="300"/>
      <c r="BI77" s="28"/>
      <c r="BK77" s="319"/>
      <c r="BL77" s="567"/>
      <c r="BM77" s="12"/>
      <c r="BN77" s="287"/>
      <c r="BP77" s="52"/>
      <c r="BQ77" s="50"/>
      <c r="BR77" s="52"/>
      <c r="BS77" s="52"/>
      <c r="BT77" s="50"/>
      <c r="BU77" s="256"/>
      <c r="BV77" s="256"/>
      <c r="BW77" s="39"/>
      <c r="BX77" s="12"/>
      <c r="BY77" s="534"/>
      <c r="BZ77" s="39">
        <f t="shared" si="72"/>
        <v>0</v>
      </c>
      <c r="CA77" s="51" t="e">
        <f t="shared" si="73"/>
        <v>#DIV/0!</v>
      </c>
      <c r="CC77" s="39"/>
    </row>
    <row r="78" spans="1:81" s="13" customFormat="1" ht="18" customHeight="1">
      <c r="A78" s="73" t="s">
        <v>82</v>
      </c>
      <c r="B78" s="322"/>
      <c r="C78" s="322"/>
      <c r="D78" s="322"/>
      <c r="E78" s="351"/>
      <c r="F78" s="10"/>
      <c r="G78" s="10"/>
      <c r="H78" s="14"/>
      <c r="I78" s="10"/>
      <c r="J78" s="10"/>
      <c r="K78" s="14"/>
      <c r="L78" s="10"/>
      <c r="M78" s="10"/>
      <c r="N78" s="14"/>
      <c r="O78" s="10"/>
      <c r="P78" s="12"/>
      <c r="Q78" s="36"/>
      <c r="R78" s="52"/>
      <c r="S78" s="52"/>
      <c r="T78" s="58"/>
      <c r="U78" s="52"/>
      <c r="V78" s="52"/>
      <c r="W78" s="58"/>
      <c r="X78" s="52"/>
      <c r="AA78" s="52"/>
      <c r="AC78" s="28"/>
      <c r="AD78" s="52"/>
      <c r="AE78" s="180"/>
      <c r="AF78" s="163"/>
      <c r="AG78" s="163"/>
      <c r="AH78" s="163"/>
      <c r="AI78" s="163"/>
      <c r="AM78" s="84"/>
      <c r="AN78" s="172"/>
      <c r="AO78" s="97"/>
      <c r="AP78" s="12"/>
      <c r="AQ78" s="12"/>
      <c r="AR78" s="12"/>
      <c r="AS78" s="52"/>
      <c r="AT78" s="52"/>
      <c r="AU78" s="30"/>
      <c r="AV78" s="97"/>
      <c r="AW78" s="136"/>
      <c r="BD78" s="292"/>
      <c r="BE78" s="300"/>
      <c r="BI78" s="28"/>
      <c r="BK78" s="319"/>
      <c r="BL78" s="567"/>
      <c r="BM78" s="12"/>
      <c r="BN78" s="287"/>
      <c r="BP78" s="52"/>
      <c r="BQ78" s="50"/>
      <c r="BR78" s="52"/>
      <c r="BS78" s="52"/>
      <c r="BT78" s="50"/>
      <c r="BU78" s="256"/>
      <c r="BV78" s="256"/>
      <c r="BW78" s="39"/>
      <c r="BY78" s="534"/>
      <c r="BZ78" s="39">
        <f t="shared" si="72"/>
        <v>0</v>
      </c>
      <c r="CA78" s="51" t="e">
        <f t="shared" si="73"/>
        <v>#DIV/0!</v>
      </c>
      <c r="CC78" s="39"/>
    </row>
    <row r="79" spans="1:81" s="13" customFormat="1" ht="18" customHeight="1">
      <c r="A79" s="73" t="s">
        <v>170</v>
      </c>
      <c r="B79" s="322"/>
      <c r="C79" s="322"/>
      <c r="D79" s="322"/>
      <c r="E79" s="351"/>
      <c r="F79" s="10"/>
      <c r="G79" s="10"/>
      <c r="H79" s="14"/>
      <c r="I79" s="10"/>
      <c r="J79" s="10"/>
      <c r="K79" s="14"/>
      <c r="L79" s="10"/>
      <c r="M79" s="10"/>
      <c r="N79" s="14"/>
      <c r="O79" s="10"/>
      <c r="P79" s="12"/>
      <c r="Q79" s="36"/>
      <c r="R79" s="52"/>
      <c r="S79" s="52"/>
      <c r="T79" s="58"/>
      <c r="U79" s="52"/>
      <c r="V79" s="52"/>
      <c r="W79" s="58"/>
      <c r="X79" s="52"/>
      <c r="AA79" s="52"/>
      <c r="AC79" s="28"/>
      <c r="AD79" s="52"/>
      <c r="AE79" s="180"/>
      <c r="AF79" s="163"/>
      <c r="AG79" s="163"/>
      <c r="AH79" s="163"/>
      <c r="AI79" s="163"/>
      <c r="AM79" s="84"/>
      <c r="AN79" s="172"/>
      <c r="AO79" s="97"/>
      <c r="AP79" s="12"/>
      <c r="AQ79" s="12"/>
      <c r="AR79" s="12"/>
      <c r="AS79" s="52"/>
      <c r="AT79" s="52"/>
      <c r="AU79" s="30"/>
      <c r="AV79" s="97"/>
      <c r="AW79" s="136"/>
      <c r="BD79" s="292"/>
      <c r="BE79" s="300"/>
      <c r="BI79" s="28"/>
      <c r="BK79" s="319"/>
      <c r="BL79" s="567"/>
      <c r="BM79" s="12"/>
      <c r="BN79" s="287"/>
      <c r="BP79" s="52"/>
      <c r="BQ79" s="50"/>
      <c r="BR79" s="52"/>
      <c r="BS79" s="52"/>
      <c r="BT79" s="50"/>
      <c r="BU79" s="256"/>
      <c r="BV79" s="256"/>
      <c r="BW79" s="39"/>
      <c r="BY79" s="534"/>
      <c r="BZ79" s="39">
        <f t="shared" si="72"/>
        <v>0</v>
      </c>
      <c r="CA79" s="51" t="e">
        <f t="shared" si="73"/>
        <v>#DIV/0!</v>
      </c>
      <c r="CC79" s="39"/>
    </row>
    <row r="80" spans="1:81" s="13" customFormat="1" ht="18" customHeight="1">
      <c r="A80" s="73" t="s">
        <v>171</v>
      </c>
      <c r="B80" s="322"/>
      <c r="C80" s="322"/>
      <c r="D80" s="322"/>
      <c r="E80" s="351"/>
      <c r="F80" s="10"/>
      <c r="G80" s="10"/>
      <c r="H80" s="14"/>
      <c r="I80" s="10"/>
      <c r="J80" s="10"/>
      <c r="K80" s="14"/>
      <c r="L80" s="10"/>
      <c r="M80" s="10"/>
      <c r="N80" s="14"/>
      <c r="O80" s="10"/>
      <c r="P80" s="12"/>
      <c r="Q80" s="36"/>
      <c r="R80" s="52"/>
      <c r="S80" s="52"/>
      <c r="T80" s="58"/>
      <c r="U80" s="52"/>
      <c r="V80" s="52"/>
      <c r="W80" s="58"/>
      <c r="X80" s="52"/>
      <c r="AA80" s="52"/>
      <c r="AC80" s="28"/>
      <c r="AD80" s="52"/>
      <c r="AE80" s="180"/>
      <c r="AF80" s="163"/>
      <c r="AG80" s="163"/>
      <c r="AH80" s="163"/>
      <c r="AI80" s="163"/>
      <c r="AM80" s="84"/>
      <c r="AN80" s="172"/>
      <c r="AO80" s="97"/>
      <c r="AP80" s="12"/>
      <c r="AQ80" s="12"/>
      <c r="AR80" s="12"/>
      <c r="AS80" s="52"/>
      <c r="AT80" s="52"/>
      <c r="AU80" s="30"/>
      <c r="AV80" s="97"/>
      <c r="AW80" s="136"/>
      <c r="BD80" s="292"/>
      <c r="BE80" s="300"/>
      <c r="BI80" s="28"/>
      <c r="BK80" s="319"/>
      <c r="BL80" s="567"/>
      <c r="BM80" s="12"/>
      <c r="BN80" s="287"/>
      <c r="BP80" s="52"/>
      <c r="BQ80" s="50"/>
      <c r="BR80" s="52"/>
      <c r="BS80" s="52"/>
      <c r="BT80" s="50"/>
      <c r="BU80" s="256"/>
      <c r="BV80" s="256"/>
      <c r="BW80" s="39"/>
      <c r="BY80" s="534"/>
      <c r="BZ80" s="39">
        <f t="shared" si="72"/>
        <v>0</v>
      </c>
      <c r="CA80" s="51" t="e">
        <f t="shared" si="73"/>
        <v>#DIV/0!</v>
      </c>
      <c r="CC80" s="39"/>
    </row>
    <row r="81" spans="1:81" s="13" customFormat="1" ht="18" customHeight="1">
      <c r="A81" s="73" t="s">
        <v>172</v>
      </c>
      <c r="B81" s="322"/>
      <c r="C81" s="322"/>
      <c r="D81" s="322"/>
      <c r="E81" s="351"/>
      <c r="F81" s="10"/>
      <c r="G81" s="10"/>
      <c r="H81" s="14"/>
      <c r="I81" s="10"/>
      <c r="J81" s="10"/>
      <c r="K81" s="14"/>
      <c r="L81" s="10"/>
      <c r="M81" s="10"/>
      <c r="N81" s="14"/>
      <c r="O81" s="10"/>
      <c r="P81" s="12"/>
      <c r="Q81" s="36"/>
      <c r="R81" s="52"/>
      <c r="S81" s="52"/>
      <c r="T81" s="58"/>
      <c r="U81" s="52"/>
      <c r="V81" s="52"/>
      <c r="W81" s="58"/>
      <c r="X81" s="52"/>
      <c r="AA81" s="52"/>
      <c r="AC81" s="28"/>
      <c r="AD81" s="52"/>
      <c r="AE81" s="180"/>
      <c r="AF81" s="163"/>
      <c r="AG81" s="163"/>
      <c r="AH81" s="163"/>
      <c r="AI81" s="163"/>
      <c r="AM81" s="84"/>
      <c r="AN81" s="172"/>
      <c r="AO81" s="97"/>
      <c r="AP81" s="12"/>
      <c r="AQ81" s="12"/>
      <c r="AR81" s="12"/>
      <c r="AS81" s="52"/>
      <c r="AT81" s="52"/>
      <c r="AU81" s="30"/>
      <c r="AV81" s="97"/>
      <c r="AW81" s="136"/>
      <c r="BD81" s="292"/>
      <c r="BE81" s="300"/>
      <c r="BI81" s="28"/>
      <c r="BK81" s="319"/>
      <c r="BL81" s="567"/>
      <c r="BM81" s="12"/>
      <c r="BN81" s="287"/>
      <c r="BP81" s="52"/>
      <c r="BQ81" s="50"/>
      <c r="BR81" s="52"/>
      <c r="BS81" s="52"/>
      <c r="BT81" s="50"/>
      <c r="BU81" s="256"/>
      <c r="BV81" s="256"/>
      <c r="BW81" s="39"/>
      <c r="BY81" s="534"/>
      <c r="BZ81" s="39">
        <f t="shared" si="72"/>
        <v>0</v>
      </c>
      <c r="CA81" s="51" t="e">
        <f t="shared" si="73"/>
        <v>#DIV/0!</v>
      </c>
      <c r="CC81" s="39"/>
    </row>
    <row r="82" spans="1:81" s="13" customFormat="1" ht="18" customHeight="1">
      <c r="A82" s="73" t="s">
        <v>169</v>
      </c>
      <c r="B82" s="322"/>
      <c r="C82" s="322"/>
      <c r="D82" s="322"/>
      <c r="E82" s="351"/>
      <c r="F82" s="10"/>
      <c r="G82" s="10"/>
      <c r="H82" s="14"/>
      <c r="I82" s="10"/>
      <c r="J82" s="10"/>
      <c r="K82" s="14"/>
      <c r="L82" s="10"/>
      <c r="M82" s="10"/>
      <c r="N82" s="14"/>
      <c r="O82" s="10"/>
      <c r="P82" s="12"/>
      <c r="Q82" s="36"/>
      <c r="R82" s="52"/>
      <c r="S82" s="52"/>
      <c r="T82" s="58"/>
      <c r="U82" s="52"/>
      <c r="V82" s="52"/>
      <c r="W82" s="58"/>
      <c r="X82" s="52"/>
      <c r="AA82" s="52"/>
      <c r="AC82" s="28"/>
      <c r="AD82" s="52"/>
      <c r="AE82" s="180"/>
      <c r="AF82" s="163"/>
      <c r="AG82" s="163"/>
      <c r="AH82" s="163"/>
      <c r="AI82" s="163"/>
      <c r="AM82" s="84"/>
      <c r="AN82" s="172"/>
      <c r="AO82" s="97"/>
      <c r="AP82" s="12"/>
      <c r="AQ82" s="12"/>
      <c r="AR82" s="12"/>
      <c r="AS82" s="52"/>
      <c r="AT82" s="52"/>
      <c r="AU82" s="30"/>
      <c r="AV82" s="97"/>
      <c r="AW82" s="136"/>
      <c r="BD82" s="292"/>
      <c r="BE82" s="300"/>
      <c r="BI82" s="28"/>
      <c r="BK82" s="319"/>
      <c r="BL82" s="567"/>
      <c r="BM82" s="12"/>
      <c r="BN82" s="287"/>
      <c r="BP82" s="52"/>
      <c r="BQ82" s="50"/>
      <c r="BR82" s="52"/>
      <c r="BS82" s="52"/>
      <c r="BT82" s="50"/>
      <c r="BU82" s="256"/>
      <c r="BV82" s="256"/>
      <c r="BW82" s="39"/>
      <c r="BY82" s="534"/>
      <c r="BZ82" s="39">
        <f t="shared" si="72"/>
        <v>0</v>
      </c>
      <c r="CA82" s="51" t="e">
        <f t="shared" si="73"/>
        <v>#DIV/0!</v>
      </c>
      <c r="CC82" s="39"/>
    </row>
    <row r="83" spans="1:81" ht="18" customHeight="1">
      <c r="A83" s="73"/>
      <c r="B83" s="322"/>
      <c r="C83" s="322"/>
      <c r="D83" s="322"/>
      <c r="E83" s="351"/>
      <c r="F83" s="10"/>
      <c r="G83" s="10"/>
      <c r="H83" s="14"/>
      <c r="I83" s="10"/>
      <c r="J83" s="10"/>
      <c r="K83" s="14"/>
      <c r="L83" s="10"/>
      <c r="M83" s="10"/>
      <c r="N83" s="14"/>
      <c r="O83" s="10"/>
      <c r="P83" s="63"/>
      <c r="Q83" s="72"/>
      <c r="R83" s="52"/>
      <c r="S83" s="52"/>
      <c r="T83" s="58"/>
      <c r="U83" s="52"/>
      <c r="V83" s="52"/>
      <c r="W83" s="58"/>
      <c r="X83" s="52"/>
      <c r="AA83" s="52"/>
      <c r="AD83" s="52"/>
      <c r="AI83" s="157"/>
      <c r="AM83" s="84"/>
      <c r="AN83" s="172"/>
      <c r="BD83" s="289"/>
      <c r="BI83" s="65"/>
      <c r="BL83" s="567"/>
      <c r="BM83" s="12"/>
      <c r="BN83" s="51"/>
      <c r="BP83" s="52"/>
      <c r="BR83" s="52"/>
      <c r="BS83" s="52"/>
      <c r="BW83" s="39"/>
      <c r="BY83" s="534"/>
      <c r="BZ83" s="39">
        <f t="shared" si="72"/>
        <v>0</v>
      </c>
      <c r="CA83" s="51" t="e">
        <f t="shared" si="73"/>
        <v>#DIV/0!</v>
      </c>
      <c r="CC83" s="39"/>
    </row>
    <row r="84" spans="1:81" s="109" customFormat="1" ht="18" customHeight="1">
      <c r="A84" s="116" t="s">
        <v>57</v>
      </c>
      <c r="B84" s="354"/>
      <c r="C84" s="354"/>
      <c r="D84" s="354"/>
      <c r="E84" s="357"/>
      <c r="F84" s="358"/>
      <c r="G84" s="358"/>
      <c r="H84" s="360"/>
      <c r="I84" s="358"/>
      <c r="J84" s="358"/>
      <c r="K84" s="360"/>
      <c r="L84" s="358"/>
      <c r="M84" s="358"/>
      <c r="N84" s="360"/>
      <c r="O84" s="358"/>
      <c r="P84" s="105"/>
      <c r="Q84" s="117"/>
      <c r="R84" s="107"/>
      <c r="S84" s="107"/>
      <c r="T84" s="125"/>
      <c r="U84" s="107"/>
      <c r="V84" s="107"/>
      <c r="W84" s="125"/>
      <c r="X84" s="107"/>
      <c r="AA84" s="107"/>
      <c r="AC84" s="110"/>
      <c r="AD84" s="107"/>
      <c r="AE84" s="175"/>
      <c r="AF84" s="158"/>
      <c r="AG84" s="158"/>
      <c r="AH84" s="158"/>
      <c r="AI84" s="158"/>
      <c r="AM84" s="123"/>
      <c r="AN84" s="170"/>
      <c r="AO84" s="113"/>
      <c r="AP84" s="107"/>
      <c r="AQ84" s="107"/>
      <c r="AR84" s="107"/>
      <c r="AS84" s="107"/>
      <c r="AT84" s="107"/>
      <c r="AU84" s="200"/>
      <c r="AV84" s="114"/>
      <c r="AW84" s="107"/>
      <c r="BD84" s="290"/>
      <c r="BE84" s="298"/>
      <c r="BI84" s="110"/>
      <c r="BK84" s="316"/>
      <c r="BL84" s="572"/>
      <c r="BM84" s="132"/>
      <c r="BN84" s="108"/>
      <c r="BP84" s="107"/>
      <c r="BR84" s="107"/>
      <c r="BS84" s="107"/>
      <c r="BU84" s="107"/>
      <c r="BV84" s="107"/>
      <c r="BW84" s="554"/>
      <c r="BY84" s="680"/>
      <c r="BZ84" s="39">
        <f t="shared" si="72"/>
        <v>0</v>
      </c>
      <c r="CA84" s="51" t="e">
        <f t="shared" si="73"/>
        <v>#DIV/0!</v>
      </c>
      <c r="CC84" s="39"/>
    </row>
    <row r="85" spans="1:81" ht="18" customHeight="1">
      <c r="A85" s="57" t="s">
        <v>9</v>
      </c>
      <c r="B85" s="322">
        <f>'FY 2013 by Agency'!B85*Inflator!$E$2</f>
        <v>409728.61802232859</v>
      </c>
      <c r="C85" s="322">
        <f>'FY 2013 by Agency'!C85*Inflator!$E$3</f>
        <v>414559.93894899538</v>
      </c>
      <c r="D85" s="322">
        <f t="shared" si="78"/>
        <v>4831.3209266667836</v>
      </c>
      <c r="E85" s="351">
        <f t="shared" si="79"/>
        <v>1.179151446629851E-2</v>
      </c>
      <c r="F85" s="10">
        <f>'FY 2013 by Agency'!F85*Inflator!$E$4</f>
        <v>417499.98477350589</v>
      </c>
      <c r="G85" s="10">
        <f t="shared" si="80"/>
        <v>2940.045824510511</v>
      </c>
      <c r="H85" s="14">
        <f t="shared" si="81"/>
        <v>7.091968008206973E-3</v>
      </c>
      <c r="I85" s="10">
        <f>'FY 2013 by Agency'!I85*Inflator!$E$5</f>
        <v>430196.40386760887</v>
      </c>
      <c r="J85" s="10">
        <f t="shared" si="82"/>
        <v>12696.419094102981</v>
      </c>
      <c r="K85" s="14">
        <f t="shared" si="83"/>
        <v>3.0410585765627753E-2</v>
      </c>
      <c r="L85" s="10">
        <f>'FY 2013 by Agency'!L85*Inflator!$E$6</f>
        <v>447915.93602326419</v>
      </c>
      <c r="M85" s="10">
        <f t="shared" si="84"/>
        <v>17719.532155655324</v>
      </c>
      <c r="N85" s="14">
        <f t="shared" si="85"/>
        <v>4.1189400925602429E-2</v>
      </c>
      <c r="O85" s="10">
        <f>'FY 2013 by Agency'!O85*Inflator!$E$7</f>
        <v>451933.99999999994</v>
      </c>
      <c r="P85" s="52">
        <f>O85-L85</f>
        <v>4018.0639767357497</v>
      </c>
      <c r="Q85" s="58">
        <f t="shared" ref="Q85:Q101" si="89">P85/L85</f>
        <v>8.970576069271749E-3</v>
      </c>
      <c r="R85" s="52">
        <f>'FY 2013 by Agency'!R85*Inflator!$E$8</f>
        <v>497772.39714867616</v>
      </c>
      <c r="S85" s="52">
        <f t="shared" ref="S85:S109" si="90">R85-O85</f>
        <v>45838.397148676217</v>
      </c>
      <c r="T85" s="58">
        <f t="shared" ref="T85:T97" si="91">S85/O85</f>
        <v>0.10142719323767679</v>
      </c>
      <c r="U85" s="52">
        <f>'FY 2013 by Agency'!U85*Inflator!$E$9</f>
        <v>500350.99336870026</v>
      </c>
      <c r="V85" s="52">
        <f>U85-R85</f>
        <v>2578.5962200241047</v>
      </c>
      <c r="W85" s="58">
        <f>V85/R85</f>
        <v>5.1802716156917027E-3</v>
      </c>
      <c r="X85" s="52">
        <f>'FY 2013 by Agency'!X85*Inflator!$E$10</f>
        <v>521816.90758971107</v>
      </c>
      <c r="Y85" s="39">
        <f>X85-U85</f>
        <v>21465.914221010811</v>
      </c>
      <c r="Z85" s="58">
        <f t="shared" ref="Z85:Z97" si="92">Y85/U85</f>
        <v>4.2901712009179402E-2</v>
      </c>
      <c r="AA85" s="52">
        <f>'FY 2013 by Agency'!AA85*Inflator!$E$11</f>
        <v>514105.81713921641</v>
      </c>
      <c r="AB85" s="39">
        <f t="shared" ref="AB85:AB109" si="93">AA85-X85</f>
        <v>-7711.0904504946666</v>
      </c>
      <c r="AC85" s="58">
        <f t="shared" ref="AC85:AC104" si="94">AB85/X85</f>
        <v>-1.4777387122453427E-2</v>
      </c>
      <c r="AD85" s="52" t="e">
        <f>'FY 2013 by Agency'!AD85*Inflator!#REF!</f>
        <v>#REF!</v>
      </c>
      <c r="AE85" s="52">
        <f>'FY 2013 by Agency'!AE85*Inflator!$B$8</f>
        <v>0</v>
      </c>
      <c r="AF85" s="52">
        <f>'FY 2013 by Agency'!AF85*Inflator!$E$12</f>
        <v>488106.94486215542</v>
      </c>
      <c r="AG85" s="52">
        <f t="shared" ref="AG85:AG109" si="95">AF85-AA85</f>
        <v>-25998.872277060989</v>
      </c>
      <c r="AH85" s="58">
        <f t="shared" ref="AH85:AH109" si="96">AG85/AA85</f>
        <v>-5.0571052515479845E-2</v>
      </c>
      <c r="AI85" s="52">
        <f>'FY 2013 by Agency'!AI85*Inflator!$B$8</f>
        <v>0</v>
      </c>
      <c r="AJ85" s="52">
        <f>'FY 2013 by Agency'!AJ85*Inflator!$B$8</f>
        <v>0</v>
      </c>
      <c r="AK85" s="52">
        <f>'FY 2013 by Agency'!AK85</f>
        <v>452401</v>
      </c>
      <c r="AL85" s="52">
        <f>'FY 2013 by Agency'!AL85</f>
        <v>0</v>
      </c>
      <c r="AM85" s="52">
        <f>'FY 2013 by Agency'!AM85</f>
        <v>452401</v>
      </c>
      <c r="AN85" s="52">
        <f>'FY 2013 by Agency'!AN85</f>
        <v>413648</v>
      </c>
      <c r="AO85" s="52">
        <f>'FY 2013 by Agency'!AO85</f>
        <v>449518</v>
      </c>
      <c r="AP85" s="52">
        <f>'FY 2013 by Agency'!AP85</f>
        <v>19429</v>
      </c>
      <c r="AQ85" s="52">
        <f>'FY 2013 by Agency'!AQ85</f>
        <v>381</v>
      </c>
      <c r="AR85" s="52">
        <f>'FY 2013 by Agency'!AR85</f>
        <v>19810</v>
      </c>
      <c r="AS85" s="52">
        <f>'FY 2013 by Agency'!AS85</f>
        <v>462302.49015000003</v>
      </c>
      <c r="AT85" s="52" t="e">
        <f t="shared" ref="AT85:AT109" si="97">AR85-AD85</f>
        <v>#REF!</v>
      </c>
      <c r="AU85" s="58" t="e">
        <f t="shared" ref="AU85:AU108" si="98">AT85/AD85</f>
        <v>#REF!</v>
      </c>
      <c r="AV85" s="52">
        <f t="shared" ref="AV85:AV109" si="99">AS85-AF85</f>
        <v>-25804.454712155391</v>
      </c>
      <c r="AW85" s="58">
        <f t="shared" ref="AW85:AW109" si="100">AV85/AF85</f>
        <v>-5.2866395333593823E-2</v>
      </c>
      <c r="AX85" s="282" t="s">
        <v>279</v>
      </c>
      <c r="AY85" s="280">
        <v>448718.28500000003</v>
      </c>
      <c r="AZ85" s="280">
        <f t="shared" ref="AZ85:AZ105" si="101">+AY85-AO85</f>
        <v>-799.7149999999674</v>
      </c>
      <c r="BA85" s="280">
        <f t="shared" ref="BA85:BA105" si="102">+AZ85+AV85</f>
        <v>-26604.169712155359</v>
      </c>
      <c r="BB85" s="280">
        <f t="shared" ref="BB85:BB105" si="103">+AZ85+AS85</f>
        <v>461502.77515000006</v>
      </c>
      <c r="BC85" s="58">
        <f t="shared" ref="BC85:BC105" si="104">+BB85/AF85-1</f>
        <v>-5.4504796525008614E-2</v>
      </c>
      <c r="BD85" s="291">
        <v>3399.1379999999999</v>
      </c>
      <c r="BE85" s="51">
        <f>BD85/AY85</f>
        <v>7.5752161514880088E-3</v>
      </c>
      <c r="BF85" s="50">
        <v>3794</v>
      </c>
      <c r="BH85" s="50">
        <v>4000</v>
      </c>
      <c r="BI85" s="219">
        <v>439277</v>
      </c>
      <c r="BJ85" s="280">
        <f>BI85-AY85</f>
        <v>-9441.2850000000326</v>
      </c>
      <c r="BK85" s="39">
        <f>BI85+AP85+AQ85</f>
        <v>459087</v>
      </c>
      <c r="BL85" s="568">
        <f>'FY 2013 by Agency'!AS85*Inflator!$E$13</f>
        <v>479372.55463219417</v>
      </c>
      <c r="BM85" s="256">
        <f>BL85-AF85</f>
        <v>-8734.3902299612528</v>
      </c>
      <c r="BN85" s="51">
        <f>BM85/AF85</f>
        <v>-1.7894419085612276E-2</v>
      </c>
      <c r="BO85" s="52">
        <f>'FY 2013 by Agency'!AX85*Inflator!$E$13</f>
        <v>463429.33963991463</v>
      </c>
      <c r="BP85" s="52">
        <f t="shared" si="74"/>
        <v>-24677.605222240789</v>
      </c>
      <c r="BQ85" s="51">
        <f t="shared" si="75"/>
        <v>-5.0557783457086246E-2</v>
      </c>
      <c r="BR85" s="52">
        <f>'FY 2013 by Agency'!BE85*Inflator!$E$14</f>
        <v>458129.33830994333</v>
      </c>
      <c r="BS85" s="52">
        <f t="shared" si="76"/>
        <v>-5300.0013299713028</v>
      </c>
      <c r="BT85" s="51">
        <f t="shared" si="77"/>
        <v>-1.1436482062377433E-2</v>
      </c>
      <c r="BU85" s="52">
        <f>'FY 2013 by Agency'!BL85*Inflator!$E$14</f>
        <v>476151.21827411168</v>
      </c>
      <c r="BV85" s="52">
        <f>BU85-BL85</f>
        <v>-3221.3363580824807</v>
      </c>
      <c r="BW85" s="487">
        <v>471523</v>
      </c>
      <c r="BX85" s="39">
        <f>'FY 2013 by Agency'!BW85*Inflator!E15</f>
        <v>496780</v>
      </c>
      <c r="BY85" s="595">
        <v>470926</v>
      </c>
      <c r="BZ85" s="39">
        <f t="shared" si="72"/>
        <v>13393.661690056673</v>
      </c>
      <c r="CA85" s="51">
        <f t="shared" si="73"/>
        <v>2.923554675512903E-2</v>
      </c>
      <c r="CC85" s="39"/>
    </row>
    <row r="86" spans="1:81" ht="18" customHeight="1">
      <c r="A86" s="57" t="s">
        <v>10</v>
      </c>
      <c r="B86" s="322">
        <f>'FY 2013 by Agency'!B86*Inflator!$E$2</f>
        <v>152903.22567783095</v>
      </c>
      <c r="C86" s="322">
        <f>'FY 2013 by Agency'!C86*Inflator!$E$3</f>
        <v>169658.41112828441</v>
      </c>
      <c r="D86" s="322">
        <f t="shared" si="78"/>
        <v>16755.185450453457</v>
      </c>
      <c r="E86" s="351">
        <f t="shared" si="79"/>
        <v>0.10958032687784394</v>
      </c>
      <c r="F86" s="10">
        <f>'FY 2013 by Agency'!F86*Inflator!$E$4</f>
        <v>167805.83859916255</v>
      </c>
      <c r="G86" s="10">
        <f t="shared" si="80"/>
        <v>-1852.572529121855</v>
      </c>
      <c r="H86" s="14">
        <f t="shared" si="81"/>
        <v>-1.0919426374452269E-2</v>
      </c>
      <c r="I86" s="10">
        <f>'FY 2013 by Agency'!I86*Inflator!$E$5</f>
        <v>171470.73782075124</v>
      </c>
      <c r="J86" s="10">
        <f t="shared" si="82"/>
        <v>3664.8992215886828</v>
      </c>
      <c r="K86" s="14">
        <f t="shared" si="83"/>
        <v>2.1840117436813505E-2</v>
      </c>
      <c r="L86" s="10">
        <f>'FY 2013 by Agency'!L86*Inflator!$E$6</f>
        <v>183429.00545256268</v>
      </c>
      <c r="M86" s="10">
        <f t="shared" si="84"/>
        <v>11958.267631811439</v>
      </c>
      <c r="N86" s="14">
        <f t="shared" si="85"/>
        <v>6.9739407340231666E-2</v>
      </c>
      <c r="O86" s="10">
        <f>'FY 2013 by Agency'!O86*Inflator!$E$7</f>
        <v>178482.9102428722</v>
      </c>
      <c r="P86" s="52">
        <f t="shared" ref="P86:P104" si="105">O86-L86</f>
        <v>-4946.0952096904803</v>
      </c>
      <c r="Q86" s="58">
        <f t="shared" si="89"/>
        <v>-2.6964629707756933E-2</v>
      </c>
      <c r="R86" s="52">
        <f>'FY 2013 by Agency'!R86*Inflator!$E$8</f>
        <v>181351.23693143245</v>
      </c>
      <c r="S86" s="52">
        <f t="shared" si="90"/>
        <v>2868.3266885602497</v>
      </c>
      <c r="T86" s="58">
        <f t="shared" si="91"/>
        <v>1.6070595692647262E-2</v>
      </c>
      <c r="U86" s="52">
        <f>'FY 2013 by Agency'!U86*Inflator!$E$9</f>
        <v>194658.30570291777</v>
      </c>
      <c r="V86" s="52">
        <f t="shared" ref="V86:V104" si="106">U86-R86</f>
        <v>13307.068771485327</v>
      </c>
      <c r="W86" s="58">
        <f t="shared" ref="W86:W104" si="107">V86/R86</f>
        <v>7.3377325661785425E-2</v>
      </c>
      <c r="X86" s="52">
        <f>'FY 2013 by Agency'!X86*Inflator!$E$10</f>
        <v>203514.19434741189</v>
      </c>
      <c r="Y86" s="39">
        <f t="shared" ref="Y86:Y108" si="108">X86-U86</f>
        <v>8855.8886444941163</v>
      </c>
      <c r="Z86" s="58">
        <f t="shared" si="92"/>
        <v>4.5494532650508804E-2</v>
      </c>
      <c r="AA86" s="52">
        <f>'FY 2013 by Agency'!AA86*Inflator!$E$11</f>
        <v>199494.75055750241</v>
      </c>
      <c r="AB86" s="39">
        <f t="shared" si="93"/>
        <v>-4019.4437899094773</v>
      </c>
      <c r="AC86" s="58">
        <f t="shared" si="94"/>
        <v>-1.9750188937917652E-2</v>
      </c>
      <c r="AD86" s="52" t="e">
        <f>'FY 2013 by Agency'!AD86*Inflator!#REF!</f>
        <v>#REF!</v>
      </c>
      <c r="AE86" s="52">
        <f>'FY 2013 by Agency'!AE86*Inflator!$B$8</f>
        <v>0</v>
      </c>
      <c r="AF86" s="52">
        <f>'FY 2013 by Agency'!AF86*Inflator!$E$12</f>
        <v>207403.61528822058</v>
      </c>
      <c r="AG86" s="52">
        <f t="shared" si="95"/>
        <v>7908.8647307181673</v>
      </c>
      <c r="AH86" s="58">
        <f t="shared" si="96"/>
        <v>3.9644475399058257E-2</v>
      </c>
      <c r="AI86" s="52">
        <f>'FY 2013 by Agency'!AI86*Inflator!$B$8</f>
        <v>0</v>
      </c>
      <c r="AJ86" s="52">
        <f>'FY 2013 by Agency'!AJ86*Inflator!$B$8</f>
        <v>0</v>
      </c>
      <c r="AK86" s="52">
        <f>'FY 2013 by Agency'!AK86</f>
        <v>196834</v>
      </c>
      <c r="AL86" s="52">
        <f>'FY 2013 by Agency'!AL86</f>
        <v>0</v>
      </c>
      <c r="AM86" s="52">
        <f>'FY 2013 by Agency'!AM86</f>
        <v>196834</v>
      </c>
      <c r="AN86" s="52">
        <f>'FY 2013 by Agency'!AN86</f>
        <v>192535</v>
      </c>
      <c r="AO86" s="52">
        <f>'FY 2013 by Agency'!AO86</f>
        <v>194055</v>
      </c>
      <c r="AP86" s="52">
        <f>'FY 2013 by Agency'!AP86</f>
        <v>5393</v>
      </c>
      <c r="AQ86" s="52">
        <f>'FY 2013 by Agency'!AQ86</f>
        <v>240</v>
      </c>
      <c r="AR86" s="52">
        <f>'FY 2013 by Agency'!AR86</f>
        <v>5633</v>
      </c>
      <c r="AS86" s="52">
        <f>'FY 2013 by Agency'!AS86</f>
        <v>199071.45843</v>
      </c>
      <c r="AT86" s="52" t="e">
        <f t="shared" si="97"/>
        <v>#REF!</v>
      </c>
      <c r="AU86" s="58" t="e">
        <f t="shared" si="98"/>
        <v>#REF!</v>
      </c>
      <c r="AV86" s="52">
        <f t="shared" si="99"/>
        <v>-8332.15685822058</v>
      </c>
      <c r="AW86" s="58">
        <f t="shared" si="100"/>
        <v>-4.0173633649739963E-2</v>
      </c>
      <c r="AX86" s="282" t="s">
        <v>280</v>
      </c>
      <c r="AY86" s="280">
        <v>197050.18046999999</v>
      </c>
      <c r="AZ86" s="280">
        <f t="shared" si="101"/>
        <v>2995.1804699999921</v>
      </c>
      <c r="BA86" s="280">
        <f t="shared" si="102"/>
        <v>-5336.976388220588</v>
      </c>
      <c r="BB86" s="280">
        <f t="shared" si="103"/>
        <v>202066.63889999999</v>
      </c>
      <c r="BC86" s="58">
        <f t="shared" si="104"/>
        <v>-2.5732320918340768E-2</v>
      </c>
      <c r="BD86" s="291">
        <v>1970.6990000000001</v>
      </c>
      <c r="BE86" s="51">
        <f t="shared" ref="BE86:BE104" si="109">BD86/AY86</f>
        <v>1.0001000736459768E-2</v>
      </c>
      <c r="BF86" s="50">
        <v>657</v>
      </c>
      <c r="BI86" s="65">
        <v>196615</v>
      </c>
      <c r="BJ86" s="280">
        <f t="shared" ref="BJ86:BJ109" si="110">BI86-AY86</f>
        <v>-435.18046999999206</v>
      </c>
      <c r="BK86" s="39">
        <f t="shared" ref="BK86:BK108" si="111">BI86+AP86+AQ86</f>
        <v>202248</v>
      </c>
      <c r="BL86" s="568">
        <f>'FY 2013 by Agency'!AS86*Inflator!$E$13</f>
        <v>206421.97611996951</v>
      </c>
      <c r="BM86" s="256">
        <f t="shared" ref="BM86:BM109" si="112">BL86-AF86</f>
        <v>-981.63916825107299</v>
      </c>
      <c r="BN86" s="51">
        <f t="shared" ref="BN86:BN109" si="113">BM86/AF86</f>
        <v>-4.7329896679328756E-3</v>
      </c>
      <c r="BO86" s="52">
        <f>'FY 2013 by Agency'!AX86*Inflator!$E$13</f>
        <v>203874.81537992071</v>
      </c>
      <c r="BP86" s="52">
        <f t="shared" si="74"/>
        <v>-3528.7999082998722</v>
      </c>
      <c r="BQ86" s="51">
        <f t="shared" si="75"/>
        <v>-1.7014167778107624E-2</v>
      </c>
      <c r="BR86" s="52">
        <f>'FY 2013 by Agency'!BE86*Inflator!$E$14</f>
        <v>197773.9492385787</v>
      </c>
      <c r="BS86" s="52">
        <f t="shared" si="76"/>
        <v>-6100.866141342005</v>
      </c>
      <c r="BT86" s="51">
        <f t="shared" si="77"/>
        <v>-2.9924569790403199E-2</v>
      </c>
      <c r="BU86" s="52">
        <f>'FY 2013 by Agency'!BL86*Inflator!$E$14</f>
        <v>203997.69722305168</v>
      </c>
      <c r="BV86" s="52">
        <f t="shared" ref="BV86:BV109" si="114">BU86-BL86</f>
        <v>-2424.2788969178218</v>
      </c>
      <c r="BW86" s="487">
        <v>200729</v>
      </c>
      <c r="BX86" s="39">
        <f>'FY 2013 by Agency'!BW86*Inflator!E15</f>
        <v>208768</v>
      </c>
      <c r="BY86" s="595">
        <v>199374</v>
      </c>
      <c r="BZ86" s="39">
        <f t="shared" si="72"/>
        <v>2955.0507614212984</v>
      </c>
      <c r="CA86" s="51">
        <f t="shared" si="73"/>
        <v>1.4941557130239438E-2</v>
      </c>
      <c r="CC86" s="39"/>
    </row>
    <row r="87" spans="1:81" ht="18" customHeight="1">
      <c r="A87" s="59" t="s">
        <v>11</v>
      </c>
      <c r="B87" s="322">
        <f>'FY 2013 by Agency'!B87*Inflator!$E$2</f>
        <v>54059.090909090912</v>
      </c>
      <c r="C87" s="322">
        <f>'FY 2013 by Agency'!C87*Inflator!$E$3</f>
        <v>64336.166924265846</v>
      </c>
      <c r="D87" s="322">
        <f t="shared" si="78"/>
        <v>10277.076015174935</v>
      </c>
      <c r="E87" s="351">
        <f t="shared" si="79"/>
        <v>0.19010819165378673</v>
      </c>
      <c r="F87" s="10">
        <f>'FY 2013 by Agency'!F87*Inflator!$E$4</f>
        <v>96494.404263418342</v>
      </c>
      <c r="G87" s="10">
        <f t="shared" si="80"/>
        <v>32158.237339152496</v>
      </c>
      <c r="H87" s="14">
        <f t="shared" si="81"/>
        <v>0.4998469581970586</v>
      </c>
      <c r="I87" s="10">
        <f>'FY 2013 by Agency'!I87*Inflator!$E$5</f>
        <v>87066.641874302732</v>
      </c>
      <c r="J87" s="10">
        <f t="shared" si="82"/>
        <v>-9427.7623891156109</v>
      </c>
      <c r="K87" s="14">
        <f t="shared" si="83"/>
        <v>-9.770268505289624E-2</v>
      </c>
      <c r="L87" s="10">
        <f>'FY 2013 by Agency'!L87*Inflator!$E$6</f>
        <v>119442.60268993092</v>
      </c>
      <c r="M87" s="10">
        <f t="shared" si="84"/>
        <v>32375.96081562819</v>
      </c>
      <c r="N87" s="14">
        <f t="shared" si="85"/>
        <v>0.3718526420528433</v>
      </c>
      <c r="O87" s="10">
        <f>'FY 2013 by Agency'!O87*Inflator!$E$7</f>
        <v>134078.07110172472</v>
      </c>
      <c r="P87" s="52">
        <f t="shared" si="105"/>
        <v>14635.468411793801</v>
      </c>
      <c r="Q87" s="58">
        <f t="shared" si="89"/>
        <v>0.1225313923356727</v>
      </c>
      <c r="R87" s="52">
        <f>'FY 2013 by Agency'!R87*Inflator!$E$8</f>
        <v>135527.83435166327</v>
      </c>
      <c r="S87" s="52">
        <f t="shared" si="90"/>
        <v>1449.7632499385509</v>
      </c>
      <c r="T87" s="58">
        <f t="shared" si="91"/>
        <v>1.0812828958723748E-2</v>
      </c>
      <c r="U87" s="52">
        <f>'FY 2013 by Agency'!U87*Inflator!$E$9</f>
        <v>157844.76127320953</v>
      </c>
      <c r="V87" s="52">
        <f t="shared" si="106"/>
        <v>22316.926921546255</v>
      </c>
      <c r="W87" s="58">
        <f t="shared" si="107"/>
        <v>0.16466674191545783</v>
      </c>
      <c r="X87" s="52">
        <f>'FY 2013 by Agency'!X87*Inflator!$E$10</f>
        <v>147832.96284534773</v>
      </c>
      <c r="Y87" s="39">
        <f t="shared" si="108"/>
        <v>-10011.798427861795</v>
      </c>
      <c r="Z87" s="58">
        <f t="shared" si="92"/>
        <v>-6.3428132470818119E-2</v>
      </c>
      <c r="AA87" s="52">
        <f>'FY 2013 by Agency'!AA87*Inflator!$E$11</f>
        <v>120050.39821599238</v>
      </c>
      <c r="AB87" s="39">
        <f t="shared" si="93"/>
        <v>-27782.564629355358</v>
      </c>
      <c r="AC87" s="58">
        <f t="shared" si="94"/>
        <v>-0.18793213701885614</v>
      </c>
      <c r="AD87" s="52" t="e">
        <f>'FY 2013 by Agency'!AD87*Inflator!#REF!</f>
        <v>#REF!</v>
      </c>
      <c r="AE87" s="52">
        <f>'FY 2013 by Agency'!AE87*Inflator!$B$8</f>
        <v>0</v>
      </c>
      <c r="AF87" s="52">
        <f>'FY 2013 by Agency'!AF87*Inflator!$E$12</f>
        <v>140838.15789473685</v>
      </c>
      <c r="AG87" s="52">
        <f t="shared" si="95"/>
        <v>20787.759678744478</v>
      </c>
      <c r="AH87" s="58">
        <f t="shared" si="96"/>
        <v>0.17315860661572766</v>
      </c>
      <c r="AI87" s="52">
        <f>'FY 2013 by Agency'!AI87*Inflator!$B$8</f>
        <v>0</v>
      </c>
      <c r="AJ87" s="52">
        <f>'FY 2013 by Agency'!AJ87*Inflator!$B$8</f>
        <v>0</v>
      </c>
      <c r="AK87" s="52">
        <f>'FY 2013 by Agency'!AK87</f>
        <v>127200</v>
      </c>
      <c r="AL87" s="52">
        <f>'FY 2013 by Agency'!AL87</f>
        <v>375</v>
      </c>
      <c r="AM87" s="52">
        <f>'FY 2013 by Agency'!AM87</f>
        <v>127575</v>
      </c>
      <c r="AN87" s="52">
        <f>'FY 2013 by Agency'!AN87</f>
        <v>127200</v>
      </c>
      <c r="AO87" s="52">
        <f>'FY 2013 by Agency'!AO87</f>
        <v>127200</v>
      </c>
      <c r="AP87" s="52">
        <f>'FY 2013 by Agency'!AP87</f>
        <v>0</v>
      </c>
      <c r="AQ87" s="52">
        <f>'FY 2013 by Agency'!AQ87</f>
        <v>0</v>
      </c>
      <c r="AR87" s="52">
        <f>'FY 2013 by Agency'!AR87</f>
        <v>0</v>
      </c>
      <c r="AS87" s="52">
        <f>'FY 2013 by Agency'!AS87</f>
        <v>127200</v>
      </c>
      <c r="AT87" s="52" t="e">
        <f t="shared" si="97"/>
        <v>#REF!</v>
      </c>
      <c r="AU87" s="58" t="e">
        <f t="shared" si="98"/>
        <v>#REF!</v>
      </c>
      <c r="AV87" s="52">
        <f t="shared" si="99"/>
        <v>-13638.157894736854</v>
      </c>
      <c r="AW87" s="58">
        <f t="shared" si="100"/>
        <v>-9.6835673645561893E-2</v>
      </c>
      <c r="AX87" s="282" t="s">
        <v>281</v>
      </c>
      <c r="AY87" s="280">
        <v>127200</v>
      </c>
      <c r="AZ87" s="280">
        <f t="shared" si="101"/>
        <v>0</v>
      </c>
      <c r="BA87" s="280">
        <f t="shared" si="102"/>
        <v>-13638.157894736854</v>
      </c>
      <c r="BB87" s="280">
        <f t="shared" si="103"/>
        <v>127200</v>
      </c>
      <c r="BC87" s="58">
        <f t="shared" si="104"/>
        <v>-9.6835673645561893E-2</v>
      </c>
      <c r="BD87" s="291">
        <v>0</v>
      </c>
      <c r="BE87" s="51">
        <f t="shared" si="109"/>
        <v>0</v>
      </c>
      <c r="BI87" s="65">
        <v>127200</v>
      </c>
      <c r="BJ87" s="280">
        <f t="shared" si="110"/>
        <v>0</v>
      </c>
      <c r="BK87" s="39">
        <f t="shared" si="111"/>
        <v>127200</v>
      </c>
      <c r="BL87" s="568">
        <f>'FY 2013 by Agency'!AS87*Inflator!$E$13</f>
        <v>131896.73481843152</v>
      </c>
      <c r="BM87" s="256">
        <f t="shared" si="112"/>
        <v>-8941.4230763053347</v>
      </c>
      <c r="BN87" s="51">
        <f t="shared" si="113"/>
        <v>-6.3487219727683453E-2</v>
      </c>
      <c r="BO87" s="52">
        <f>'FY 2013 by Agency'!AX87*Inflator!$E$13</f>
        <v>131896.73481843152</v>
      </c>
      <c r="BP87" s="52">
        <f t="shared" si="74"/>
        <v>-8941.4230763053347</v>
      </c>
      <c r="BQ87" s="51">
        <f t="shared" si="75"/>
        <v>-6.3487219727683453E-2</v>
      </c>
      <c r="BR87" s="52">
        <f>'FY 2013 by Agency'!BE87*Inflator!$E$14</f>
        <v>118407.46491489997</v>
      </c>
      <c r="BS87" s="52">
        <f t="shared" si="76"/>
        <v>-13489.269903531545</v>
      </c>
      <c r="BT87" s="51">
        <f t="shared" si="77"/>
        <v>-0.10227144684135522</v>
      </c>
      <c r="BU87" s="52">
        <f>'FY 2013 by Agency'!BL87*Inflator!$E$14</f>
        <v>118407.46491489997</v>
      </c>
      <c r="BV87" s="52">
        <f t="shared" si="114"/>
        <v>-13489.269903531545</v>
      </c>
      <c r="BW87" s="39">
        <v>96314</v>
      </c>
      <c r="BX87" s="39">
        <f>'FY 2013 by Agency'!BW87*Inflator!E15</f>
        <v>96314</v>
      </c>
      <c r="BY87" s="534">
        <v>96314</v>
      </c>
      <c r="BZ87" s="39">
        <f t="shared" si="72"/>
        <v>-22093.464914899974</v>
      </c>
      <c r="CA87" s="51">
        <f t="shared" si="73"/>
        <v>-0.18658844635157637</v>
      </c>
      <c r="CC87" s="39"/>
    </row>
    <row r="88" spans="1:81" ht="18" customHeight="1">
      <c r="A88" s="59" t="s">
        <v>12</v>
      </c>
      <c r="B88" s="322">
        <f>'FY 2013 by Agency'!B88*Inflator!$E$2</f>
        <v>334712.48405103671</v>
      </c>
      <c r="C88" s="322">
        <f>'FY 2013 by Agency'!C88*Inflator!$E$3</f>
        <v>278034.6537867079</v>
      </c>
      <c r="D88" s="322">
        <f t="shared" si="78"/>
        <v>-56677.830264328804</v>
      </c>
      <c r="E88" s="351">
        <f t="shared" si="79"/>
        <v>-0.16933288408712777</v>
      </c>
      <c r="F88" s="10">
        <f>'FY 2013 by Agency'!F88*Inflator!$E$4</f>
        <v>126264.09212028931</v>
      </c>
      <c r="G88" s="10">
        <f t="shared" si="80"/>
        <v>-151770.56166641859</v>
      </c>
      <c r="H88" s="14">
        <f t="shared" si="81"/>
        <v>-0.54586922744834598</v>
      </c>
      <c r="I88" s="10">
        <f>'FY 2013 by Agency'!I88*Inflator!$E$5</f>
        <v>129318.60468575681</v>
      </c>
      <c r="J88" s="10">
        <f t="shared" si="82"/>
        <v>3054.5125654675066</v>
      </c>
      <c r="K88" s="14">
        <f t="shared" si="83"/>
        <v>2.4191458665520936E-2</v>
      </c>
      <c r="L88" s="10">
        <f>'FY 2013 by Agency'!L88*Inflator!$E$6</f>
        <v>145182.66884769173</v>
      </c>
      <c r="M88" s="10">
        <f t="shared" si="84"/>
        <v>15864.064161934919</v>
      </c>
      <c r="N88" s="14">
        <f t="shared" si="85"/>
        <v>0.12267426021556967</v>
      </c>
      <c r="O88" s="10">
        <f>'FY 2013 by Agency'!O88*Inflator!$E$7</f>
        <v>147564.81802182327</v>
      </c>
      <c r="P88" s="52">
        <f t="shared" si="105"/>
        <v>2382.1491741315403</v>
      </c>
      <c r="Q88" s="58">
        <f t="shared" si="89"/>
        <v>1.6407944509069509E-2</v>
      </c>
      <c r="R88" s="52">
        <f>'FY 2013 by Agency'!R88*Inflator!$E$8</f>
        <v>155951.59063136455</v>
      </c>
      <c r="S88" s="52">
        <f t="shared" si="90"/>
        <v>8386.77260954128</v>
      </c>
      <c r="T88" s="58">
        <f t="shared" si="91"/>
        <v>5.6834499726763903E-2</v>
      </c>
      <c r="U88" s="52">
        <f>'FY 2013 by Agency'!U88*Inflator!$E$9</f>
        <v>165766.2924403183</v>
      </c>
      <c r="V88" s="52">
        <f t="shared" si="106"/>
        <v>9814.7018089537451</v>
      </c>
      <c r="W88" s="58">
        <f t="shared" si="107"/>
        <v>6.2934284730404272E-2</v>
      </c>
      <c r="X88" s="52">
        <f>'FY 2013 by Agency'!X88*Inflator!$E$10</f>
        <v>164821.88377262626</v>
      </c>
      <c r="Y88" s="39">
        <f t="shared" si="108"/>
        <v>-944.40866769204149</v>
      </c>
      <c r="Z88" s="58">
        <f t="shared" si="92"/>
        <v>-5.6972298396072403E-3</v>
      </c>
      <c r="AA88" s="52">
        <f>'FY 2013 by Agency'!AA88*Inflator!$E$11</f>
        <v>161592.81554635236</v>
      </c>
      <c r="AB88" s="39">
        <f t="shared" si="93"/>
        <v>-3229.0682262738992</v>
      </c>
      <c r="AC88" s="58">
        <f t="shared" si="94"/>
        <v>-1.9591259075332722E-2</v>
      </c>
      <c r="AD88" s="52" t="e">
        <f>'FY 2013 by Agency'!AD88*Inflator!#REF!</f>
        <v>#REF!</v>
      </c>
      <c r="AE88" s="52">
        <f>'FY 2013 by Agency'!AE88*Inflator!$B$8</f>
        <v>0</v>
      </c>
      <c r="AF88" s="52">
        <f>'FY 2013 by Agency'!AF88*Inflator!$E$12</f>
        <v>160296.81766917295</v>
      </c>
      <c r="AG88" s="52">
        <f t="shared" si="95"/>
        <v>-1295.9978771794122</v>
      </c>
      <c r="AH88" s="58">
        <f t="shared" si="96"/>
        <v>-8.0201454055836997E-3</v>
      </c>
      <c r="AI88" s="52">
        <f>'FY 2013 by Agency'!AI88*Inflator!$B$8</f>
        <v>0</v>
      </c>
      <c r="AJ88" s="52">
        <f>'FY 2013 by Agency'!AJ88*Inflator!$B$8</f>
        <v>0</v>
      </c>
      <c r="AK88" s="52">
        <f>'FY 2013 by Agency'!AK88</f>
        <v>116451</v>
      </c>
      <c r="AL88" s="52">
        <f>'FY 2013 by Agency'!AL88</f>
        <v>4900</v>
      </c>
      <c r="AM88" s="52">
        <f>'FY 2013 by Agency'!AM88</f>
        <v>121351</v>
      </c>
      <c r="AN88" s="52">
        <f>'FY 2013 by Agency'!AN88</f>
        <v>100083</v>
      </c>
      <c r="AO88" s="52">
        <f>'FY 2013 by Agency'!AO88</f>
        <v>125628</v>
      </c>
      <c r="AP88" s="52">
        <f>'FY 2013 by Agency'!AP88</f>
        <v>2811</v>
      </c>
      <c r="AQ88" s="52">
        <f>'FY 2013 by Agency'!AQ88</f>
        <v>471</v>
      </c>
      <c r="AR88" s="52">
        <f>'FY 2013 by Agency'!AR88</f>
        <v>3282</v>
      </c>
      <c r="AS88" s="52">
        <f>'FY 2013 by Agency'!AS88</f>
        <v>145604.72744000002</v>
      </c>
      <c r="AT88" s="52" t="e">
        <f t="shared" si="97"/>
        <v>#REF!</v>
      </c>
      <c r="AU88" s="58" t="e">
        <f t="shared" si="98"/>
        <v>#REF!</v>
      </c>
      <c r="AV88" s="52">
        <f t="shared" si="99"/>
        <v>-14692.090229172929</v>
      </c>
      <c r="AW88" s="58">
        <f t="shared" si="100"/>
        <v>-9.1655532797257772E-2</v>
      </c>
      <c r="AX88" s="282" t="s">
        <v>282</v>
      </c>
      <c r="AY88" s="280">
        <v>135633.91337999998</v>
      </c>
      <c r="AZ88" s="280">
        <f t="shared" si="101"/>
        <v>10005.913379999984</v>
      </c>
      <c r="BA88" s="280">
        <f t="shared" si="102"/>
        <v>-4686.1768491729454</v>
      </c>
      <c r="BB88" s="280">
        <f t="shared" si="103"/>
        <v>155610.64082</v>
      </c>
      <c r="BC88" s="58">
        <f t="shared" si="104"/>
        <v>-2.9234372318260649E-2</v>
      </c>
      <c r="BD88" s="291">
        <v>3999.1460000000002</v>
      </c>
      <c r="BE88" s="51">
        <f t="shared" si="109"/>
        <v>2.9484853016042947E-2</v>
      </c>
      <c r="BF88" s="50">
        <v>1642</v>
      </c>
      <c r="BI88" s="219">
        <v>134075</v>
      </c>
      <c r="BJ88" s="280">
        <f t="shared" si="110"/>
        <v>-1558.9133799999836</v>
      </c>
      <c r="BK88" s="39">
        <f t="shared" si="111"/>
        <v>137357</v>
      </c>
      <c r="BL88" s="568">
        <f>'FY 2013 by Agency'!AS88*Inflator!$E$13</f>
        <v>150981.03870647549</v>
      </c>
      <c r="BM88" s="256">
        <f t="shared" si="112"/>
        <v>-9315.7789626974554</v>
      </c>
      <c r="BN88" s="51">
        <f t="shared" si="113"/>
        <v>-5.8115807276497136E-2</v>
      </c>
      <c r="BO88" s="52">
        <f>'FY 2013 by Agency'!AX88*Inflator!$E$13</f>
        <v>145558.2087274947</v>
      </c>
      <c r="BP88" s="52">
        <f t="shared" si="74"/>
        <v>-14738.608941678249</v>
      </c>
      <c r="BQ88" s="51">
        <f t="shared" si="75"/>
        <v>-9.1945736390702318E-2</v>
      </c>
      <c r="BR88" s="52">
        <f>'FY 2013 by Agency'!BE88*Inflator!$E$14</f>
        <v>137574.86354135565</v>
      </c>
      <c r="BS88" s="52">
        <f t="shared" si="76"/>
        <v>-7983.3451861390495</v>
      </c>
      <c r="BT88" s="51">
        <f t="shared" si="77"/>
        <v>-5.4846409940953501E-2</v>
      </c>
      <c r="BU88" s="52">
        <f>'FY 2013 by Agency'!BL88*Inflator!$E$14</f>
        <v>141602.9495371753</v>
      </c>
      <c r="BV88" s="52">
        <f t="shared" si="114"/>
        <v>-9378.0891693001904</v>
      </c>
      <c r="BW88" s="487">
        <v>141085</v>
      </c>
      <c r="BX88" s="39">
        <f>'FY 2013 by Agency'!BW88*Inflator!E15</f>
        <v>145092</v>
      </c>
      <c r="BY88" s="595">
        <v>139289</v>
      </c>
      <c r="BZ88" s="39">
        <f t="shared" si="72"/>
        <v>3510.1364586443524</v>
      </c>
      <c r="CA88" s="51">
        <f t="shared" si="73"/>
        <v>2.5514373543893715E-2</v>
      </c>
      <c r="CC88" s="39"/>
    </row>
    <row r="89" spans="1:81" ht="18" customHeight="1">
      <c r="A89" s="57" t="s">
        <v>13</v>
      </c>
      <c r="B89" s="322">
        <f>'FY 2013 by Agency'!B89*Inflator!$E$2</f>
        <v>2579.6618819776718</v>
      </c>
      <c r="C89" s="322">
        <f>'FY 2013 by Agency'!C89*Inflator!$E$3</f>
        <v>2683.7372488408037</v>
      </c>
      <c r="D89" s="322">
        <f t="shared" si="78"/>
        <v>104.07536686313188</v>
      </c>
      <c r="E89" s="351">
        <f t="shared" si="79"/>
        <v>4.0344576779707091E-2</v>
      </c>
      <c r="F89" s="10">
        <f>'FY 2013 by Agency'!F89*Inflator!$E$4</f>
        <v>2449.8713361248574</v>
      </c>
      <c r="G89" s="10">
        <f t="shared" si="80"/>
        <v>-233.86591271594625</v>
      </c>
      <c r="H89" s="14">
        <f t="shared" si="81"/>
        <v>-8.7141881276552244E-2</v>
      </c>
      <c r="I89" s="10">
        <f>'FY 2013 by Agency'!I89*Inflator!$E$5</f>
        <v>1764.0788397173674</v>
      </c>
      <c r="J89" s="10">
        <f t="shared" si="82"/>
        <v>-685.79249640749003</v>
      </c>
      <c r="K89" s="14">
        <f t="shared" si="83"/>
        <v>-0.27993000542316593</v>
      </c>
      <c r="L89" s="10">
        <f>'FY 2013 by Agency'!L89*Inflator!$E$6</f>
        <v>2388.8520537986183</v>
      </c>
      <c r="M89" s="10">
        <f t="shared" si="84"/>
        <v>624.7732140812509</v>
      </c>
      <c r="N89" s="14">
        <f t="shared" si="85"/>
        <v>0.35416399767107304</v>
      </c>
      <c r="O89" s="10">
        <f>'FY 2013 by Agency'!O89*Inflator!$E$7</f>
        <v>2504.5448785638855</v>
      </c>
      <c r="P89" s="52">
        <f t="shared" si="105"/>
        <v>115.69282476526723</v>
      </c>
      <c r="Q89" s="58">
        <f t="shared" si="89"/>
        <v>4.8430301316190347E-2</v>
      </c>
      <c r="R89" s="52">
        <f>'FY 2013 by Agency'!R89*Inflator!$E$8</f>
        <v>2686.3346911065851</v>
      </c>
      <c r="S89" s="52">
        <f t="shared" si="90"/>
        <v>181.78981254269956</v>
      </c>
      <c r="T89" s="58">
        <f t="shared" si="91"/>
        <v>7.2583970883739343E-2</v>
      </c>
      <c r="U89" s="52">
        <f>'FY 2013 by Agency'!U89*Inflator!$E$9</f>
        <v>3206.4681697612732</v>
      </c>
      <c r="V89" s="52">
        <f t="shared" si="106"/>
        <v>520.13347865468813</v>
      </c>
      <c r="W89" s="58">
        <f t="shared" si="107"/>
        <v>0.19362199370638694</v>
      </c>
      <c r="X89" s="52">
        <f>'FY 2013 by Agency'!X89*Inflator!$E$10</f>
        <v>3051.617656398857</v>
      </c>
      <c r="Y89" s="39">
        <f t="shared" si="108"/>
        <v>-154.85051336241622</v>
      </c>
      <c r="Z89" s="58">
        <f t="shared" si="92"/>
        <v>-4.8293170293327782E-2</v>
      </c>
      <c r="AA89" s="52">
        <f>'FY 2013 by Agency'!AA89*Inflator!$E$11</f>
        <v>3649.1424020388663</v>
      </c>
      <c r="AB89" s="39">
        <f t="shared" si="93"/>
        <v>597.52474564000931</v>
      </c>
      <c r="AC89" s="58">
        <f t="shared" si="94"/>
        <v>0.19580590130191289</v>
      </c>
      <c r="AD89" s="52" t="e">
        <f>'FY 2013 by Agency'!AD89*Inflator!#REF!</f>
        <v>#REF!</v>
      </c>
      <c r="AE89" s="52">
        <f>'FY 2013 by Agency'!AE89*Inflator!$B$8</f>
        <v>0</v>
      </c>
      <c r="AF89" s="52">
        <f>'FY 2013 by Agency'!AF89*Inflator!$E$12</f>
        <v>3531.0670426065167</v>
      </c>
      <c r="AG89" s="52">
        <f t="shared" si="95"/>
        <v>-118.07535943234961</v>
      </c>
      <c r="AH89" s="58">
        <f t="shared" si="96"/>
        <v>-3.2357016094076783E-2</v>
      </c>
      <c r="AI89" s="52">
        <f>'FY 2013 by Agency'!AI89*Inflator!$B$8</f>
        <v>0</v>
      </c>
      <c r="AJ89" s="52">
        <f>'FY 2013 by Agency'!AJ89*Inflator!$B$8</f>
        <v>0</v>
      </c>
      <c r="AK89" s="52">
        <f>'FY 2013 by Agency'!AK89</f>
        <v>3574</v>
      </c>
      <c r="AL89" s="52">
        <f>'FY 2013 by Agency'!AL89</f>
        <v>0</v>
      </c>
      <c r="AM89" s="52">
        <f>'FY 2013 by Agency'!AM89</f>
        <v>3574</v>
      </c>
      <c r="AN89" s="52">
        <f>'FY 2013 by Agency'!AN89</f>
        <v>1127</v>
      </c>
      <c r="AO89" s="52">
        <f>'FY 2013 by Agency'!AO89</f>
        <v>1127</v>
      </c>
      <c r="AP89" s="52">
        <f>'FY 2013 by Agency'!AP89</f>
        <v>0</v>
      </c>
      <c r="AQ89" s="52">
        <f>'FY 2013 by Agency'!AQ89</f>
        <v>0</v>
      </c>
      <c r="AR89" s="52">
        <f>'FY 2013 by Agency'!AR89</f>
        <v>0</v>
      </c>
      <c r="AS89" s="52">
        <f>'FY 2013 by Agency'!AS89</f>
        <v>2204.48596</v>
      </c>
      <c r="AT89" s="52" t="e">
        <f t="shared" si="97"/>
        <v>#REF!</v>
      </c>
      <c r="AU89" s="58" t="e">
        <f t="shared" si="98"/>
        <v>#REF!</v>
      </c>
      <c r="AV89" s="52">
        <f t="shared" si="99"/>
        <v>-1326.5810826065167</v>
      </c>
      <c r="AW89" s="58">
        <f t="shared" si="100"/>
        <v>-0.37568844391786982</v>
      </c>
      <c r="AX89" s="282" t="s">
        <v>283</v>
      </c>
      <c r="AY89" s="280">
        <v>2552.5794000000001</v>
      </c>
      <c r="AZ89" s="280">
        <f t="shared" si="101"/>
        <v>1425.5794000000001</v>
      </c>
      <c r="BA89" s="280">
        <f t="shared" si="102"/>
        <v>98.998317393483376</v>
      </c>
      <c r="BB89" s="280">
        <f t="shared" si="103"/>
        <v>3630.0653600000001</v>
      </c>
      <c r="BC89" s="58">
        <f t="shared" si="104"/>
        <v>2.8036374330747904E-2</v>
      </c>
      <c r="BD89" s="291">
        <v>56.835999999999999</v>
      </c>
      <c r="BE89" s="51">
        <f t="shared" si="109"/>
        <v>2.2266104631260442E-2</v>
      </c>
      <c r="BF89" s="50">
        <v>247</v>
      </c>
      <c r="BI89" s="219">
        <v>2278</v>
      </c>
      <c r="BJ89" s="280">
        <f t="shared" si="110"/>
        <v>-274.57940000000008</v>
      </c>
      <c r="BK89" s="39">
        <f t="shared" si="111"/>
        <v>2278</v>
      </c>
      <c r="BL89" s="568">
        <f>'FY 2013 by Agency'!AS89*Inflator!$E$13</f>
        <v>2285.8844345682028</v>
      </c>
      <c r="BM89" s="256">
        <f t="shared" si="112"/>
        <v>-1245.1826080383139</v>
      </c>
      <c r="BN89" s="51">
        <f t="shared" si="113"/>
        <v>-0.35263635411440997</v>
      </c>
      <c r="BO89" s="52">
        <f>'FY 2013 by Agency'!AX89*Inflator!$E$13</f>
        <v>2362.1129081476965</v>
      </c>
      <c r="BP89" s="52">
        <f t="shared" si="74"/>
        <v>-1168.9541344588201</v>
      </c>
      <c r="BQ89" s="51">
        <f t="shared" si="75"/>
        <v>-0.33104841124623252</v>
      </c>
      <c r="BR89" s="52">
        <f>'FY 2013 by Agency'!BE89*Inflator!$E$14</f>
        <v>2303.2128993729475</v>
      </c>
      <c r="BS89" s="52">
        <f t="shared" si="76"/>
        <v>-58.90000877474904</v>
      </c>
      <c r="BT89" s="51">
        <f t="shared" si="77"/>
        <v>-2.4935306255506978E-2</v>
      </c>
      <c r="BU89" s="52">
        <f>'FY 2013 by Agency'!BL89*Inflator!$E$14</f>
        <v>2311.329949238579</v>
      </c>
      <c r="BV89" s="52">
        <f t="shared" si="114"/>
        <v>25.445514670376269</v>
      </c>
      <c r="BW89" s="39">
        <v>2346</v>
      </c>
      <c r="BX89" s="39">
        <f>'FY 2013 by Agency'!BW89*Inflator!E15</f>
        <v>4187</v>
      </c>
      <c r="BY89" s="534">
        <v>2796</v>
      </c>
      <c r="BZ89" s="39">
        <f t="shared" si="72"/>
        <v>42.787100627052496</v>
      </c>
      <c r="CA89" s="51">
        <f t="shared" si="73"/>
        <v>1.8577136589805195E-2</v>
      </c>
      <c r="CC89" s="39"/>
    </row>
    <row r="90" spans="1:81" ht="18" customHeight="1">
      <c r="A90" s="57" t="s">
        <v>141</v>
      </c>
      <c r="B90" s="324" t="s">
        <v>78</v>
      </c>
      <c r="C90" s="324" t="s">
        <v>78</v>
      </c>
      <c r="D90" s="324" t="s">
        <v>78</v>
      </c>
      <c r="E90" s="324" t="s">
        <v>78</v>
      </c>
      <c r="F90" s="324" t="s">
        <v>78</v>
      </c>
      <c r="G90" s="324" t="s">
        <v>78</v>
      </c>
      <c r="H90" s="324" t="s">
        <v>78</v>
      </c>
      <c r="I90" s="324" t="s">
        <v>78</v>
      </c>
      <c r="J90" s="324" t="s">
        <v>78</v>
      </c>
      <c r="K90" s="324" t="s">
        <v>78</v>
      </c>
      <c r="L90" s="10">
        <f>'FY 2013 by Agency'!L90*Inflator!$E$6</f>
        <v>6742.8869501999261</v>
      </c>
      <c r="M90" s="324" t="s">
        <v>78</v>
      </c>
      <c r="N90" s="324" t="s">
        <v>78</v>
      </c>
      <c r="O90" s="10">
        <f>'FY 2013 by Agency'!O90*Inflator!$E$7</f>
        <v>3596.5455825413583</v>
      </c>
      <c r="P90" s="52">
        <f t="shared" si="105"/>
        <v>-3146.3413676585678</v>
      </c>
      <c r="Q90" s="58">
        <f t="shared" si="89"/>
        <v>-0.46661636045451999</v>
      </c>
      <c r="R90" s="52">
        <f>'FY 2013 by Agency'!R90*Inflator!$E$8</f>
        <v>5048.5560081466392</v>
      </c>
      <c r="S90" s="52">
        <f t="shared" si="90"/>
        <v>1452.0104256052809</v>
      </c>
      <c r="T90" s="58">
        <f t="shared" si="91"/>
        <v>0.40372362654146443</v>
      </c>
      <c r="U90" s="52">
        <f>'FY 2013 by Agency'!U90*Inflator!$E$9</f>
        <v>5339.2314323607425</v>
      </c>
      <c r="V90" s="52">
        <f t="shared" si="106"/>
        <v>290.67542421410326</v>
      </c>
      <c r="W90" s="58">
        <f t="shared" si="107"/>
        <v>5.7575953152753531E-2</v>
      </c>
      <c r="X90" s="52">
        <f>'FY 2013 by Agency'!X90*Inflator!$E$10</f>
        <v>5005.8183550333442</v>
      </c>
      <c r="Y90" s="39">
        <f t="shared" si="108"/>
        <v>-333.41307732739824</v>
      </c>
      <c r="Z90" s="58">
        <f t="shared" si="92"/>
        <v>-6.2445893486954465E-2</v>
      </c>
      <c r="AA90" s="52">
        <f>'FY 2013 by Agency'!AA90*Inflator!$E$11</f>
        <v>4830.161197833706</v>
      </c>
      <c r="AB90" s="39">
        <f t="shared" si="93"/>
        <v>-175.65715719963828</v>
      </c>
      <c r="AC90" s="58">
        <f t="shared" si="94"/>
        <v>-3.5090597528976503E-2</v>
      </c>
      <c r="AD90" s="52" t="e">
        <f>'FY 2013 by Agency'!AD90*Inflator!#REF!</f>
        <v>#REF!</v>
      </c>
      <c r="AE90" s="52">
        <f>'FY 2013 by Agency'!AE90*Inflator!$B$8</f>
        <v>0</v>
      </c>
      <c r="AF90" s="52">
        <f>'FY 2013 by Agency'!AF90*Inflator!$E$12</f>
        <v>3790.8139097744365</v>
      </c>
      <c r="AG90" s="52">
        <f t="shared" si="95"/>
        <v>-1039.3472880592694</v>
      </c>
      <c r="AH90" s="58">
        <f t="shared" si="96"/>
        <v>-0.21517859249198754</v>
      </c>
      <c r="AI90" s="52">
        <f>'FY 2013 by Agency'!AI90*Inflator!$B$8</f>
        <v>0</v>
      </c>
      <c r="AJ90" s="52">
        <f>'FY 2013 by Agency'!AJ90*Inflator!$B$8</f>
        <v>0</v>
      </c>
      <c r="AK90" s="52">
        <f>'FY 2013 by Agency'!AK90</f>
        <v>4029</v>
      </c>
      <c r="AL90" s="52">
        <f>'FY 2013 by Agency'!AL90</f>
        <v>0</v>
      </c>
      <c r="AM90" s="52">
        <f>'FY 2013 by Agency'!AM90</f>
        <v>4029</v>
      </c>
      <c r="AN90" s="52">
        <f>'FY 2013 by Agency'!AN90</f>
        <v>2043</v>
      </c>
      <c r="AO90" s="52">
        <f>'FY 2013 by Agency'!AO90</f>
        <v>2043</v>
      </c>
      <c r="AP90" s="52">
        <f>'FY 2013 by Agency'!AP90</f>
        <v>1423</v>
      </c>
      <c r="AQ90" s="52">
        <f>'FY 2013 by Agency'!AQ90</f>
        <v>57</v>
      </c>
      <c r="AR90" s="52">
        <f>'FY 2013 by Agency'!AR90</f>
        <v>1480</v>
      </c>
      <c r="AS90" s="52">
        <f>'FY 2013 by Agency'!AS90</f>
        <v>3318.75083</v>
      </c>
      <c r="AT90" s="52" t="e">
        <f t="shared" si="97"/>
        <v>#REF!</v>
      </c>
      <c r="AU90" s="58" t="e">
        <f t="shared" si="98"/>
        <v>#REF!</v>
      </c>
      <c r="AV90" s="52">
        <f t="shared" si="99"/>
        <v>-472.06307977443657</v>
      </c>
      <c r="AW90" s="58">
        <f t="shared" si="100"/>
        <v>-0.12452815965385269</v>
      </c>
      <c r="AX90" s="282" t="s">
        <v>284</v>
      </c>
      <c r="AY90" s="280">
        <v>1994.0572400000001</v>
      </c>
      <c r="AZ90" s="280">
        <f t="shared" si="101"/>
        <v>-48.942759999999907</v>
      </c>
      <c r="BA90" s="280">
        <f t="shared" si="102"/>
        <v>-521.00583977443648</v>
      </c>
      <c r="BB90" s="280">
        <f t="shared" si="103"/>
        <v>3269.80807</v>
      </c>
      <c r="BC90" s="58">
        <f t="shared" si="104"/>
        <v>-0.13743904400874107</v>
      </c>
      <c r="BD90" s="291">
        <v>35.475999999999999</v>
      </c>
      <c r="BE90" s="51">
        <f t="shared" si="109"/>
        <v>1.7790863415736248E-2</v>
      </c>
      <c r="BF90" s="50">
        <v>35</v>
      </c>
      <c r="BI90" s="219">
        <v>1932</v>
      </c>
      <c r="BJ90" s="280">
        <f t="shared" si="110"/>
        <v>-62.057240000000093</v>
      </c>
      <c r="BK90" s="39">
        <f t="shared" si="111"/>
        <v>3412</v>
      </c>
      <c r="BL90" s="568">
        <f>'FY 2013 by Agency'!AS90*Inflator!$E$13</f>
        <v>3441.2924383094301</v>
      </c>
      <c r="BM90" s="256">
        <f t="shared" si="112"/>
        <v>-349.52147146500647</v>
      </c>
      <c r="BN90" s="51">
        <f t="shared" si="113"/>
        <v>-9.2202223528773511E-2</v>
      </c>
      <c r="BO90" s="52">
        <f>'FY 2013 by Agency'!AX90*Inflator!$E$13</f>
        <v>2003.3371986573088</v>
      </c>
      <c r="BP90" s="52">
        <f t="shared" si="74"/>
        <v>-1787.4767111171277</v>
      </c>
      <c r="BQ90" s="51">
        <f t="shared" si="75"/>
        <v>-0.47152847743546644</v>
      </c>
      <c r="BR90" s="52">
        <f>'FY 2013 by Agency'!BE90*Inflator!$E$14</f>
        <v>1855.7605255300091</v>
      </c>
      <c r="BS90" s="52">
        <f t="shared" si="76"/>
        <v>-147.57667312729973</v>
      </c>
      <c r="BT90" s="51">
        <f t="shared" si="77"/>
        <v>-7.3665418495802715E-2</v>
      </c>
      <c r="BU90" s="52">
        <f>'FY 2013 by Agency'!BL90*Inflator!$E$14</f>
        <v>3270.1564646163038</v>
      </c>
      <c r="BV90" s="52">
        <f t="shared" si="114"/>
        <v>-171.13597369312629</v>
      </c>
      <c r="BW90" s="487">
        <v>2007</v>
      </c>
      <c r="BX90" s="39">
        <f>'FY 2013 by Agency'!BW90*Inflator!E15</f>
        <v>3374</v>
      </c>
      <c r="BY90" s="595">
        <v>2007</v>
      </c>
      <c r="BZ90" s="39">
        <f t="shared" si="72"/>
        <v>151.23947446999091</v>
      </c>
      <c r="CA90" s="51">
        <f t="shared" si="73"/>
        <v>8.1497301181571696E-2</v>
      </c>
      <c r="CC90" s="39"/>
    </row>
    <row r="91" spans="1:81" ht="18" customHeight="1">
      <c r="A91" s="312" t="s">
        <v>370</v>
      </c>
      <c r="B91" s="322">
        <f>'FY 2013 by Agency'!B91*Inflator!$E$2</f>
        <v>2820.8277511961724</v>
      </c>
      <c r="C91" s="322">
        <f>'FY 2013 by Agency'!C91*Inflator!$E$3</f>
        <v>4546.8601236476043</v>
      </c>
      <c r="D91" s="322">
        <f t="shared" si="78"/>
        <v>1726.0323724514319</v>
      </c>
      <c r="E91" s="351">
        <f t="shared" si="79"/>
        <v>0.61188861025615893</v>
      </c>
      <c r="F91" s="10">
        <f>'FY 2013 by Agency'!F91*Inflator!$E$4</f>
        <v>3683.8614389036925</v>
      </c>
      <c r="G91" s="10">
        <f t="shared" si="80"/>
        <v>-862.99868474391178</v>
      </c>
      <c r="H91" s="14">
        <f t="shared" si="81"/>
        <v>-0.18980101900552701</v>
      </c>
      <c r="I91" s="10">
        <f>'FY 2013 by Agency'!I91*Inflator!$E$5</f>
        <v>4056.370397917442</v>
      </c>
      <c r="J91" s="10">
        <f t="shared" si="82"/>
        <v>372.50895901374952</v>
      </c>
      <c r="K91" s="14">
        <f t="shared" si="83"/>
        <v>0.10111915586179246</v>
      </c>
      <c r="L91" s="10">
        <f>'FY 2013 by Agency'!L91*Inflator!$E$6</f>
        <v>0</v>
      </c>
      <c r="M91" s="10">
        <f t="shared" si="84"/>
        <v>-4056.370397917442</v>
      </c>
      <c r="N91" s="14">
        <f t="shared" si="85"/>
        <v>-1</v>
      </c>
      <c r="O91" s="10">
        <f>'FY 2013 by Agency'!O91*Inflator!$E$7</f>
        <v>0</v>
      </c>
      <c r="P91" s="52"/>
      <c r="Q91" s="58"/>
      <c r="R91" s="52"/>
      <c r="S91" s="52"/>
      <c r="T91" s="58"/>
      <c r="U91" s="52"/>
      <c r="V91" s="52"/>
      <c r="W91" s="58"/>
      <c r="X91" s="52"/>
      <c r="Y91" s="39"/>
      <c r="Z91" s="58"/>
      <c r="AA91" s="52"/>
      <c r="AB91" s="39"/>
      <c r="AC91" s="58"/>
      <c r="AD91" s="52"/>
      <c r="AE91" s="52"/>
      <c r="AF91" s="52"/>
      <c r="AG91" s="52"/>
      <c r="AH91" s="58"/>
      <c r="AI91" s="52"/>
      <c r="AJ91" s="52"/>
      <c r="AK91" s="52"/>
      <c r="AL91" s="52"/>
      <c r="AM91" s="52"/>
      <c r="AO91" s="52"/>
      <c r="AU91" s="58"/>
      <c r="AV91" s="52"/>
      <c r="AW91" s="58"/>
      <c r="AX91" s="282"/>
      <c r="AY91" s="280"/>
      <c r="AZ91" s="280"/>
      <c r="BA91" s="280"/>
      <c r="BB91" s="280"/>
      <c r="BC91" s="58"/>
      <c r="BD91" s="291"/>
      <c r="BE91" s="51"/>
      <c r="BI91" s="219"/>
      <c r="BJ91" s="280"/>
      <c r="BK91" s="39">
        <f t="shared" si="111"/>
        <v>0</v>
      </c>
      <c r="BL91" s="568">
        <f>'FY 2013 by Agency'!AS91*Inflator!$E$13</f>
        <v>0</v>
      </c>
      <c r="BM91" s="256">
        <f t="shared" si="112"/>
        <v>0</v>
      </c>
      <c r="BN91" s="51" t="e">
        <f t="shared" si="113"/>
        <v>#DIV/0!</v>
      </c>
      <c r="BO91" s="52">
        <f>'FY 2013 by Agency'!AX91*Inflator!$E$13</f>
        <v>0</v>
      </c>
      <c r="BP91" s="52">
        <f t="shared" si="74"/>
        <v>0</v>
      </c>
      <c r="BQ91" s="51" t="e">
        <f t="shared" si="75"/>
        <v>#DIV/0!</v>
      </c>
      <c r="BR91" s="52">
        <f>'FY 2013 by Agency'!BE91*Inflator!$E$14</f>
        <v>0</v>
      </c>
      <c r="BS91" s="52">
        <f t="shared" si="76"/>
        <v>0</v>
      </c>
      <c r="BT91" s="51" t="e">
        <f t="shared" si="77"/>
        <v>#DIV/0!</v>
      </c>
      <c r="BU91" s="52">
        <f>'FY 2013 by Agency'!BL91*Inflator!$E$14</f>
        <v>0</v>
      </c>
      <c r="BV91" s="52">
        <f t="shared" si="114"/>
        <v>0</v>
      </c>
      <c r="BW91" s="39">
        <v>0</v>
      </c>
      <c r="BX91" s="39">
        <f>'FY 2013 by Agency'!BW91*Inflator!E15</f>
        <v>0</v>
      </c>
      <c r="BY91" s="534"/>
      <c r="BZ91" s="39">
        <f t="shared" si="72"/>
        <v>0</v>
      </c>
      <c r="CA91" s="51" t="e">
        <f t="shared" si="73"/>
        <v>#DIV/0!</v>
      </c>
      <c r="CC91" s="39"/>
    </row>
    <row r="92" spans="1:81" ht="18" customHeight="1">
      <c r="A92" s="57" t="s">
        <v>14</v>
      </c>
      <c r="B92" s="322">
        <f>'FY 2013 by Agency'!B92*Inflator!$E$2</f>
        <v>199.16507177033495</v>
      </c>
      <c r="C92" s="322">
        <f>'FY 2013 by Agency'!C92*Inflator!$E$3</f>
        <v>216.64219474497682</v>
      </c>
      <c r="D92" s="322">
        <f t="shared" si="78"/>
        <v>17.477122974641873</v>
      </c>
      <c r="E92" s="351">
        <f t="shared" si="79"/>
        <v>8.775194776519564E-2</v>
      </c>
      <c r="F92" s="10">
        <f>'FY 2013 by Agency'!F92*Inflator!$E$4</f>
        <v>235.41530262657022</v>
      </c>
      <c r="G92" s="10">
        <f t="shared" si="80"/>
        <v>18.773107881593404</v>
      </c>
      <c r="H92" s="14">
        <f t="shared" si="81"/>
        <v>8.6654900739407723E-2</v>
      </c>
      <c r="I92" s="10">
        <f>'FY 2013 by Agency'!I92*Inflator!$E$5</f>
        <v>228.72368910375607</v>
      </c>
      <c r="J92" s="10">
        <f t="shared" si="82"/>
        <v>-6.6916135228141513</v>
      </c>
      <c r="K92" s="14">
        <f t="shared" si="83"/>
        <v>-2.8424717714416327E-2</v>
      </c>
      <c r="L92" s="10">
        <f>'FY 2013 by Agency'!L92*Inflator!$E$6</f>
        <v>218.62813522355503</v>
      </c>
      <c r="M92" s="10">
        <f t="shared" si="84"/>
        <v>-10.095553880201038</v>
      </c>
      <c r="N92" s="14">
        <f t="shared" si="85"/>
        <v>-4.4138645715972979E-2</v>
      </c>
      <c r="O92" s="10">
        <f>'FY 2013 by Agency'!O92*Inflator!$E$7</f>
        <v>243.99577613516365</v>
      </c>
      <c r="P92" s="52">
        <f t="shared" si="105"/>
        <v>25.367640911608618</v>
      </c>
      <c r="Q92" s="58">
        <f t="shared" si="89"/>
        <v>0.11603099887244295</v>
      </c>
      <c r="R92" s="52">
        <f>'FY 2013 by Agency'!R92*Inflator!$E$8</f>
        <v>261.82824168363879</v>
      </c>
      <c r="S92" s="52">
        <f t="shared" si="90"/>
        <v>17.832465548475142</v>
      </c>
      <c r="T92" s="58">
        <f t="shared" si="91"/>
        <v>7.308514036979348E-2</v>
      </c>
      <c r="U92" s="52">
        <f>'FY 2013 by Agency'!U92*Inflator!$E$9</f>
        <v>268.14456233421748</v>
      </c>
      <c r="V92" s="52">
        <f t="shared" si="106"/>
        <v>6.3163206505786889</v>
      </c>
      <c r="W92" s="58">
        <f t="shared" si="107"/>
        <v>2.4123908902885113E-2</v>
      </c>
      <c r="X92" s="52">
        <f>'FY 2013 by Agency'!X92*Inflator!$E$10</f>
        <v>268.68910765322329</v>
      </c>
      <c r="Y92" s="39">
        <f t="shared" si="108"/>
        <v>0.54454531900580605</v>
      </c>
      <c r="Z92" s="58">
        <f t="shared" si="92"/>
        <v>2.0307900867558167E-3</v>
      </c>
      <c r="AA92" s="52">
        <f>'FY 2013 by Agency'!AA92*Inflator!$E$11</f>
        <v>293.36030582988218</v>
      </c>
      <c r="AB92" s="39">
        <f t="shared" si="93"/>
        <v>24.671198176658891</v>
      </c>
      <c r="AC92" s="58">
        <f t="shared" si="94"/>
        <v>9.1820611531823387E-2</v>
      </c>
      <c r="AD92" s="52" t="e">
        <f>'FY 2013 by Agency'!AD92*Inflator!#REF!</f>
        <v>#REF!</v>
      </c>
      <c r="AE92" s="52">
        <f>'FY 2013 by Agency'!AE92*Inflator!$B$8</f>
        <v>0</v>
      </c>
      <c r="AF92" s="52">
        <f>'FY 2013 by Agency'!AF92*Inflator!$E$12</f>
        <v>0</v>
      </c>
      <c r="AG92" s="52">
        <f t="shared" si="95"/>
        <v>-293.36030582988218</v>
      </c>
      <c r="AH92" s="58">
        <f t="shared" si="96"/>
        <v>-1</v>
      </c>
      <c r="AI92" s="52">
        <f>'FY 2013 by Agency'!AI92*Inflator!$B$8</f>
        <v>0</v>
      </c>
      <c r="AJ92" s="52">
        <f>'FY 2013 by Agency'!AJ92*Inflator!$B$8</f>
        <v>0</v>
      </c>
      <c r="AK92" s="52">
        <f>'FY 2013 by Agency'!AK92</f>
        <v>0</v>
      </c>
      <c r="AL92" s="52">
        <f>'FY 2013 by Agency'!AL92</f>
        <v>0</v>
      </c>
      <c r="AM92" s="52">
        <f>'FY 2013 by Agency'!AM92</f>
        <v>0</v>
      </c>
      <c r="AN92" s="52">
        <f>'FY 2013 by Agency'!AN92</f>
        <v>0</v>
      </c>
      <c r="AO92" s="52">
        <f>'FY 2013 by Agency'!AO92</f>
        <v>0</v>
      </c>
      <c r="AP92" s="52">
        <f>'FY 2013 by Agency'!AP92</f>
        <v>0</v>
      </c>
      <c r="AQ92" s="52">
        <f>'FY 2013 by Agency'!AQ92</f>
        <v>0</v>
      </c>
      <c r="AR92" s="52">
        <f>'FY 2013 by Agency'!AR92</f>
        <v>0</v>
      </c>
      <c r="AS92" s="52">
        <f>'FY 2013 by Agency'!AS92</f>
        <v>0</v>
      </c>
      <c r="AT92" s="52" t="e">
        <f t="shared" si="97"/>
        <v>#REF!</v>
      </c>
      <c r="AU92" s="58" t="e">
        <f t="shared" si="98"/>
        <v>#REF!</v>
      </c>
      <c r="AV92" s="52">
        <f t="shared" si="99"/>
        <v>0</v>
      </c>
      <c r="AW92" s="58" t="e">
        <f t="shared" si="100"/>
        <v>#DIV/0!</v>
      </c>
      <c r="AX92" s="282" t="s">
        <v>285</v>
      </c>
      <c r="AY92" s="280">
        <v>0</v>
      </c>
      <c r="AZ92" s="280">
        <f t="shared" si="101"/>
        <v>0</v>
      </c>
      <c r="BA92" s="280">
        <f t="shared" si="102"/>
        <v>0</v>
      </c>
      <c r="BB92" s="280">
        <f t="shared" si="103"/>
        <v>0</v>
      </c>
      <c r="BC92" s="58" t="e">
        <f t="shared" si="104"/>
        <v>#DIV/0!</v>
      </c>
      <c r="BD92" s="291"/>
      <c r="BE92" s="51"/>
      <c r="BI92" s="219">
        <v>0</v>
      </c>
      <c r="BJ92" s="280">
        <f t="shared" si="110"/>
        <v>0</v>
      </c>
      <c r="BK92" s="39">
        <f t="shared" si="111"/>
        <v>0</v>
      </c>
      <c r="BL92" s="568">
        <f>'FY 2013 by Agency'!AS92*Inflator!$E$13</f>
        <v>0</v>
      </c>
      <c r="BM92" s="256">
        <f t="shared" si="112"/>
        <v>0</v>
      </c>
      <c r="BN92" s="51" t="e">
        <f t="shared" si="113"/>
        <v>#DIV/0!</v>
      </c>
      <c r="BO92" s="52">
        <f>'FY 2013 by Agency'!AX92*Inflator!$E$13</f>
        <v>0</v>
      </c>
      <c r="BP92" s="52">
        <f t="shared" si="74"/>
        <v>0</v>
      </c>
      <c r="BQ92" s="51" t="e">
        <f t="shared" si="75"/>
        <v>#DIV/0!</v>
      </c>
      <c r="BR92" s="52">
        <f>'FY 2013 by Agency'!BE92*Inflator!$E$14</f>
        <v>0</v>
      </c>
      <c r="BS92" s="52">
        <f t="shared" si="76"/>
        <v>0</v>
      </c>
      <c r="BT92" s="51" t="e">
        <f t="shared" si="77"/>
        <v>#DIV/0!</v>
      </c>
      <c r="BU92" s="52">
        <f>'FY 2013 by Agency'!BL92*Inflator!$E$14</f>
        <v>0</v>
      </c>
      <c r="BV92" s="52">
        <f t="shared" si="114"/>
        <v>0</v>
      </c>
      <c r="BW92" s="39">
        <v>0</v>
      </c>
      <c r="BX92" s="39">
        <f>'FY 2013 by Agency'!BW92*Inflator!E15</f>
        <v>0</v>
      </c>
      <c r="BY92" s="534"/>
      <c r="BZ92" s="39">
        <f t="shared" si="72"/>
        <v>0</v>
      </c>
      <c r="CA92" s="51" t="e">
        <f t="shared" si="73"/>
        <v>#DIV/0!</v>
      </c>
      <c r="CC92" s="39"/>
    </row>
    <row r="93" spans="1:81" ht="18" customHeight="1">
      <c r="A93" s="57" t="s">
        <v>15</v>
      </c>
      <c r="B93" s="322">
        <f>'FY 2013 by Agency'!B93*Inflator!$E$2</f>
        <v>112.4537480063796</v>
      </c>
      <c r="C93" s="322">
        <f>'FY 2013 by Agency'!C93*Inflator!$E$3</f>
        <v>110.29057187017003</v>
      </c>
      <c r="D93" s="322">
        <f t="shared" si="78"/>
        <v>-2.1631761362095716</v>
      </c>
      <c r="E93" s="351">
        <f t="shared" si="79"/>
        <v>-1.9236140853987834E-2</v>
      </c>
      <c r="F93" s="10">
        <f>'FY 2013 by Agency'!F93*Inflator!$E$4</f>
        <v>120.29463266082985</v>
      </c>
      <c r="G93" s="10">
        <f t="shared" si="80"/>
        <v>10.004060790659821</v>
      </c>
      <c r="H93" s="14">
        <f t="shared" si="81"/>
        <v>9.0706400565555415E-2</v>
      </c>
      <c r="I93" s="10">
        <f>'FY 2013 by Agency'!I93*Inflator!$E$5</f>
        <v>142.79434734101898</v>
      </c>
      <c r="J93" s="10">
        <f t="shared" si="82"/>
        <v>22.499714680189129</v>
      </c>
      <c r="K93" s="14">
        <f t="shared" si="83"/>
        <v>0.18703839217521009</v>
      </c>
      <c r="L93" s="10">
        <f>'FY 2013 by Agency'!L93*Inflator!$E$6</f>
        <v>130.92984369320246</v>
      </c>
      <c r="M93" s="10">
        <f t="shared" si="84"/>
        <v>-11.86450364781652</v>
      </c>
      <c r="N93" s="14">
        <f t="shared" si="85"/>
        <v>-8.3088048432911135E-2</v>
      </c>
      <c r="O93" s="10">
        <f>'FY 2013 by Agency'!O93*Inflator!$E$7</f>
        <v>123.19394579373458</v>
      </c>
      <c r="P93" s="52">
        <f t="shared" si="105"/>
        <v>-7.7358978994678722</v>
      </c>
      <c r="Q93" s="58">
        <f t="shared" si="89"/>
        <v>-5.9084297981709881E-2</v>
      </c>
      <c r="R93" s="52">
        <f>'FY 2013 by Agency'!R93*Inflator!$E$8</f>
        <v>140.7182620502376</v>
      </c>
      <c r="S93" s="52">
        <f t="shared" si="90"/>
        <v>17.524316256503013</v>
      </c>
      <c r="T93" s="58">
        <f t="shared" si="91"/>
        <v>0.14224981709607898</v>
      </c>
      <c r="U93" s="52">
        <f>'FY 2013 by Agency'!U93*Inflator!$E$9</f>
        <v>152.09880636604774</v>
      </c>
      <c r="V93" s="52">
        <f t="shared" si="106"/>
        <v>11.380544315810141</v>
      </c>
      <c r="W93" s="58">
        <f t="shared" si="107"/>
        <v>8.0874679305996483E-2</v>
      </c>
      <c r="X93" s="52">
        <f>'FY 2013 by Agency'!X93*Inflator!$E$10</f>
        <v>111.14449031438554</v>
      </c>
      <c r="Y93" s="39">
        <f t="shared" si="108"/>
        <v>-40.954316051662204</v>
      </c>
      <c r="Z93" s="58">
        <f t="shared" si="92"/>
        <v>-0.26926125871822904</v>
      </c>
      <c r="AA93" s="52">
        <f>'FY 2013 by Agency'!AA93*Inflator!$E$11</f>
        <v>164.54157374960181</v>
      </c>
      <c r="AB93" s="39">
        <f t="shared" si="93"/>
        <v>53.397083435216274</v>
      </c>
      <c r="AC93" s="58">
        <f t="shared" si="94"/>
        <v>0.48042942375439585</v>
      </c>
      <c r="AD93" s="52" t="e">
        <f>'FY 2013 by Agency'!AD93*Inflator!#REF!</f>
        <v>#REF!</v>
      </c>
      <c r="AE93" s="52">
        <f>'FY 2013 by Agency'!AE93*Inflator!$B$8</f>
        <v>0</v>
      </c>
      <c r="AF93" s="52">
        <f>'FY 2013 by Agency'!AF93*Inflator!$E$12</f>
        <v>0</v>
      </c>
      <c r="AG93" s="52">
        <f t="shared" si="95"/>
        <v>-164.54157374960181</v>
      </c>
      <c r="AH93" s="58">
        <f t="shared" si="96"/>
        <v>-1</v>
      </c>
      <c r="AI93" s="52">
        <f>'FY 2013 by Agency'!AI93*Inflator!$B$8</f>
        <v>0</v>
      </c>
      <c r="AJ93" s="52">
        <f>'FY 2013 by Agency'!AJ93*Inflator!$B$8</f>
        <v>0</v>
      </c>
      <c r="AK93" s="52">
        <f>'FY 2013 by Agency'!AK93</f>
        <v>0</v>
      </c>
      <c r="AL93" s="52">
        <f>'FY 2013 by Agency'!AL93</f>
        <v>0</v>
      </c>
      <c r="AM93" s="52">
        <f>'FY 2013 by Agency'!AM93</f>
        <v>0</v>
      </c>
      <c r="AN93" s="52">
        <f>'FY 2013 by Agency'!AN93</f>
        <v>0</v>
      </c>
      <c r="AO93" s="52">
        <f>'FY 2013 by Agency'!AO93</f>
        <v>0</v>
      </c>
      <c r="AP93" s="52">
        <f>'FY 2013 by Agency'!AP93</f>
        <v>0</v>
      </c>
      <c r="AQ93" s="52">
        <f>'FY 2013 by Agency'!AQ93</f>
        <v>0</v>
      </c>
      <c r="AR93" s="52">
        <f>'FY 2013 by Agency'!AR93</f>
        <v>0</v>
      </c>
      <c r="AS93" s="52">
        <f>'FY 2013 by Agency'!AS93</f>
        <v>0</v>
      </c>
      <c r="AT93" s="52" t="e">
        <f t="shared" si="97"/>
        <v>#REF!</v>
      </c>
      <c r="AU93" s="58" t="e">
        <f t="shared" si="98"/>
        <v>#REF!</v>
      </c>
      <c r="AV93" s="52">
        <f t="shared" si="99"/>
        <v>0</v>
      </c>
      <c r="AW93" s="58" t="e">
        <f t="shared" si="100"/>
        <v>#DIV/0!</v>
      </c>
      <c r="AX93" s="282" t="s">
        <v>286</v>
      </c>
      <c r="AY93" s="280">
        <v>0</v>
      </c>
      <c r="AZ93" s="280">
        <f t="shared" si="101"/>
        <v>0</v>
      </c>
      <c r="BA93" s="280">
        <f t="shared" si="102"/>
        <v>0</v>
      </c>
      <c r="BB93" s="280">
        <f t="shared" si="103"/>
        <v>0</v>
      </c>
      <c r="BC93" s="58" t="e">
        <f t="shared" si="104"/>
        <v>#DIV/0!</v>
      </c>
      <c r="BD93" s="291"/>
      <c r="BE93" s="51"/>
      <c r="BI93" s="219">
        <v>0</v>
      </c>
      <c r="BJ93" s="280">
        <f t="shared" si="110"/>
        <v>0</v>
      </c>
      <c r="BK93" s="39">
        <f t="shared" si="111"/>
        <v>0</v>
      </c>
      <c r="BL93" s="568">
        <f>'FY 2013 by Agency'!AS93*Inflator!$E$13</f>
        <v>0</v>
      </c>
      <c r="BM93" s="256">
        <f t="shared" si="112"/>
        <v>0</v>
      </c>
      <c r="BN93" s="51" t="e">
        <f t="shared" si="113"/>
        <v>#DIV/0!</v>
      </c>
      <c r="BO93" s="52">
        <f>'FY 2013 by Agency'!AX93*Inflator!$E$13</f>
        <v>0</v>
      </c>
      <c r="BP93" s="52">
        <f t="shared" si="74"/>
        <v>0</v>
      </c>
      <c r="BQ93" s="51" t="e">
        <f t="shared" si="75"/>
        <v>#DIV/0!</v>
      </c>
      <c r="BR93" s="52">
        <f>'FY 2013 by Agency'!BE93*Inflator!$E$14</f>
        <v>0</v>
      </c>
      <c r="BS93" s="52">
        <f t="shared" si="76"/>
        <v>0</v>
      </c>
      <c r="BT93" s="51" t="e">
        <f t="shared" si="77"/>
        <v>#DIV/0!</v>
      </c>
      <c r="BU93" s="52">
        <f>'FY 2013 by Agency'!BL93*Inflator!$E$14</f>
        <v>0</v>
      </c>
      <c r="BV93" s="52">
        <f t="shared" si="114"/>
        <v>0</v>
      </c>
      <c r="BW93" s="39">
        <v>0</v>
      </c>
      <c r="BX93" s="39">
        <f>'FY 2013 by Agency'!BW93*Inflator!E15</f>
        <v>7</v>
      </c>
      <c r="BY93" s="534"/>
      <c r="BZ93" s="39">
        <f t="shared" si="72"/>
        <v>0</v>
      </c>
      <c r="CA93" s="51" t="e">
        <f t="shared" si="73"/>
        <v>#DIV/0!</v>
      </c>
      <c r="CC93" s="39"/>
    </row>
    <row r="94" spans="1:81" ht="18" customHeight="1">
      <c r="A94" s="57" t="s">
        <v>83</v>
      </c>
      <c r="B94" s="322">
        <f>'FY 2013 by Agency'!B94*Inflator!$E$2</f>
        <v>295.3604465709729</v>
      </c>
      <c r="C94" s="322">
        <f>'FY 2013 by Agency'!C94*Inflator!$E$3</f>
        <v>1466.6020092735705</v>
      </c>
      <c r="D94" s="322">
        <f t="shared" si="78"/>
        <v>1171.2415627025975</v>
      </c>
      <c r="E94" s="351">
        <f t="shared" si="79"/>
        <v>3.9654651673921983</v>
      </c>
      <c r="F94" s="10">
        <f>'FY 2013 by Agency'!F94*Inflator!$E$4</f>
        <v>1510.797106966121</v>
      </c>
      <c r="G94" s="10">
        <f t="shared" si="80"/>
        <v>44.195097692550462</v>
      </c>
      <c r="H94" s="14">
        <f t="shared" si="81"/>
        <v>3.0134349614344892E-2</v>
      </c>
      <c r="I94" s="10">
        <f>'FY 2013 by Agency'!I94*Inflator!$E$5</f>
        <v>1673.0948307921162</v>
      </c>
      <c r="J94" s="10">
        <f t="shared" si="82"/>
        <v>162.29772382599526</v>
      </c>
      <c r="K94" s="14">
        <f t="shared" si="83"/>
        <v>0.10742522809823908</v>
      </c>
      <c r="L94" s="10">
        <f>'FY 2013 by Agency'!L94*Inflator!$E$6</f>
        <v>1783.6103235187202</v>
      </c>
      <c r="M94" s="10">
        <f t="shared" si="84"/>
        <v>110.51549272660395</v>
      </c>
      <c r="N94" s="14">
        <f t="shared" si="85"/>
        <v>6.6054530019844182E-2</v>
      </c>
      <c r="O94" s="10">
        <f>'FY 2013 by Agency'!O94*Inflator!$E$7</f>
        <v>2051.2390003519886</v>
      </c>
      <c r="P94" s="52">
        <f t="shared" si="105"/>
        <v>267.6286768332684</v>
      </c>
      <c r="Q94" s="58">
        <f t="shared" si="89"/>
        <v>0.15004884940634819</v>
      </c>
      <c r="R94" s="52">
        <f>'FY 2013 by Agency'!R94*Inflator!$E$8</f>
        <v>2401.4378818737268</v>
      </c>
      <c r="S94" s="52">
        <f t="shared" si="90"/>
        <v>350.19888152173826</v>
      </c>
      <c r="T94" s="58">
        <f t="shared" si="91"/>
        <v>0.17072553781477673</v>
      </c>
      <c r="U94" s="52">
        <f>'FY 2013 by Agency'!U94*Inflator!$E$9</f>
        <v>2468.5072944297081</v>
      </c>
      <c r="V94" s="52">
        <f t="shared" si="106"/>
        <v>67.069412555981216</v>
      </c>
      <c r="W94" s="58">
        <f t="shared" si="107"/>
        <v>2.7928855900136867E-2</v>
      </c>
      <c r="X94" s="52">
        <f>'FY 2013 by Agency'!X94*Inflator!$E$10</f>
        <v>2462.4439504604638</v>
      </c>
      <c r="Y94" s="39">
        <f t="shared" si="108"/>
        <v>-6.0633439692442153</v>
      </c>
      <c r="Z94" s="58">
        <f t="shared" si="92"/>
        <v>-2.456279543077069E-3</v>
      </c>
      <c r="AA94" s="52">
        <f>'FY 2013 by Agency'!AA94*Inflator!$E$11</f>
        <v>2834.0121057661681</v>
      </c>
      <c r="AB94" s="39">
        <f t="shared" si="93"/>
        <v>371.56815530570429</v>
      </c>
      <c r="AC94" s="58">
        <f t="shared" si="94"/>
        <v>0.15089405597890787</v>
      </c>
      <c r="AD94" s="52" t="e">
        <f>'FY 2013 by Agency'!AD94*Inflator!#REF!</f>
        <v>#REF!</v>
      </c>
      <c r="AE94" s="52">
        <f>'FY 2013 by Agency'!AE94*Inflator!$B$8</f>
        <v>0</v>
      </c>
      <c r="AF94" s="52">
        <f>'FY 2013 by Agency'!AF94*Inflator!$E$12</f>
        <v>2753.9555137844613</v>
      </c>
      <c r="AG94" s="52">
        <f t="shared" si="95"/>
        <v>-80.056591981706788</v>
      </c>
      <c r="AH94" s="58">
        <f t="shared" si="96"/>
        <v>-2.8248500357080757E-2</v>
      </c>
      <c r="AI94" s="52">
        <f>'FY 2013 by Agency'!AI94*Inflator!$B$8</f>
        <v>0</v>
      </c>
      <c r="AJ94" s="52">
        <f>'FY 2013 by Agency'!AJ94*Inflator!$B$8</f>
        <v>0</v>
      </c>
      <c r="AK94" s="52">
        <f>'FY 2013 by Agency'!AK94</f>
        <v>2687</v>
      </c>
      <c r="AL94" s="52">
        <f>'FY 2013 by Agency'!AL94</f>
        <v>0</v>
      </c>
      <c r="AM94" s="52">
        <f>'FY 2013 by Agency'!AM94</f>
        <v>2687</v>
      </c>
      <c r="AN94" s="52">
        <f>'FY 2013 by Agency'!AN94</f>
        <v>2070</v>
      </c>
      <c r="AO94" s="52">
        <f>'FY 2013 by Agency'!AO94</f>
        <v>2070</v>
      </c>
      <c r="AP94" s="52">
        <f>'FY 2013 by Agency'!AP94</f>
        <v>480</v>
      </c>
      <c r="AQ94" s="52">
        <f>'FY 2013 by Agency'!AQ94</f>
        <v>9</v>
      </c>
      <c r="AR94" s="52">
        <f>'FY 2013 by Agency'!AR94</f>
        <v>489</v>
      </c>
      <c r="AS94" s="52">
        <f>'FY 2013 by Agency'!AS94</f>
        <v>2259.24496</v>
      </c>
      <c r="AT94" s="52" t="e">
        <f t="shared" si="97"/>
        <v>#REF!</v>
      </c>
      <c r="AU94" s="58" t="e">
        <f t="shared" si="98"/>
        <v>#REF!</v>
      </c>
      <c r="AV94" s="52">
        <f t="shared" si="99"/>
        <v>-494.71055378446135</v>
      </c>
      <c r="AW94" s="58">
        <f t="shared" si="100"/>
        <v>-0.17963636351722853</v>
      </c>
      <c r="AX94" s="282" t="s">
        <v>287</v>
      </c>
      <c r="AY94" s="280">
        <v>2116.4739199999999</v>
      </c>
      <c r="AZ94" s="280">
        <f t="shared" si="101"/>
        <v>46.473919999999907</v>
      </c>
      <c r="BA94" s="280">
        <f t="shared" si="102"/>
        <v>-448.23663378446145</v>
      </c>
      <c r="BB94" s="280">
        <f t="shared" si="103"/>
        <v>2305.7188799999999</v>
      </c>
      <c r="BC94" s="58">
        <f t="shared" si="104"/>
        <v>-0.16276102919632807</v>
      </c>
      <c r="BD94" s="291">
        <v>29.408000000000001</v>
      </c>
      <c r="BE94" s="51">
        <f t="shared" si="109"/>
        <v>1.3894808588050072E-2</v>
      </c>
      <c r="BF94" s="50">
        <v>29</v>
      </c>
      <c r="BI94" s="219">
        <v>2058</v>
      </c>
      <c r="BJ94" s="280">
        <f t="shared" si="110"/>
        <v>-58.473919999999907</v>
      </c>
      <c r="BK94" s="39">
        <f t="shared" si="111"/>
        <v>2547</v>
      </c>
      <c r="BL94" s="568">
        <f>'FY 2013 by Agency'!AS94*Inflator!$E$13</f>
        <v>2342.6653567531284</v>
      </c>
      <c r="BM94" s="256">
        <f t="shared" si="112"/>
        <v>-411.29015703133291</v>
      </c>
      <c r="BN94" s="51">
        <f t="shared" si="113"/>
        <v>-0.14934524358606707</v>
      </c>
      <c r="BO94" s="52">
        <f>'FY 2013 by Agency'!AX94*Inflator!$E$13</f>
        <v>2133.9896246566987</v>
      </c>
      <c r="BP94" s="52">
        <f t="shared" si="74"/>
        <v>-619.96588912776269</v>
      </c>
      <c r="BQ94" s="51">
        <f t="shared" si="75"/>
        <v>-0.2251183383408438</v>
      </c>
      <c r="BR94" s="52">
        <f>'FY 2013 by Agency'!BE94*Inflator!$E$14</f>
        <v>2081.0086593012843</v>
      </c>
      <c r="BS94" s="52">
        <f t="shared" si="76"/>
        <v>-52.980965355414355</v>
      </c>
      <c r="BT94" s="51">
        <f t="shared" si="77"/>
        <v>-2.4827189759152442E-2</v>
      </c>
      <c r="BU94" s="52">
        <f>'FY 2013 by Agency'!BL94*Inflator!$E$14</f>
        <v>2580.2072260376235</v>
      </c>
      <c r="BV94" s="52">
        <f t="shared" si="114"/>
        <v>237.54186928449508</v>
      </c>
      <c r="BW94" s="487">
        <v>2091</v>
      </c>
      <c r="BX94" s="39">
        <f>'FY 2013 by Agency'!BW94*Inflator!E15</f>
        <v>2732</v>
      </c>
      <c r="BY94" s="595">
        <v>2091</v>
      </c>
      <c r="BZ94" s="39">
        <f t="shared" si="72"/>
        <v>9.9913406987157032</v>
      </c>
      <c r="CA94" s="51">
        <f t="shared" si="73"/>
        <v>4.8012009243971034E-3</v>
      </c>
      <c r="CC94" s="39"/>
    </row>
    <row r="95" spans="1:81" ht="18" customHeight="1">
      <c r="A95" s="59" t="s">
        <v>142</v>
      </c>
      <c r="B95" s="322">
        <f>'FY 2013 by Agency'!B95*Inflator!$E$2</f>
        <v>135.48644338118024</v>
      </c>
      <c r="C95" s="322">
        <f>'FY 2013 by Agency'!C95*Inflator!$E$3</f>
        <v>514.68933539412672</v>
      </c>
      <c r="D95" s="322">
        <f t="shared" si="78"/>
        <v>379.20289201294645</v>
      </c>
      <c r="E95" s="351">
        <f t="shared" si="79"/>
        <v>2.7988253477588865</v>
      </c>
      <c r="F95" s="10">
        <f>'FY 2013 by Agency'!F95*Inflator!$E$4</f>
        <v>538.09212028930335</v>
      </c>
      <c r="G95" s="10">
        <f t="shared" si="80"/>
        <v>23.402784895176637</v>
      </c>
      <c r="H95" s="14">
        <f t="shared" si="81"/>
        <v>4.5469729574357319E-2</v>
      </c>
      <c r="I95" s="10">
        <f>'FY 2013 by Agency'!I95*Inflator!$E$5</f>
        <v>610.35105987355905</v>
      </c>
      <c r="J95" s="10">
        <f t="shared" si="82"/>
        <v>72.2589395842557</v>
      </c>
      <c r="K95" s="14">
        <f t="shared" si="83"/>
        <v>0.1342873029722233</v>
      </c>
      <c r="L95" s="10">
        <f>'FY 2013 by Agency'!L95*Inflator!$E$6</f>
        <v>748.52344601962909</v>
      </c>
      <c r="M95" s="10">
        <f t="shared" si="84"/>
        <v>138.17238614607004</v>
      </c>
      <c r="N95" s="14">
        <f t="shared" si="85"/>
        <v>0.22638182388786868</v>
      </c>
      <c r="O95" s="10">
        <f>'FY 2013 by Agency'!O95*Inflator!$E$7</f>
        <v>642.28299894403369</v>
      </c>
      <c r="P95" s="52">
        <f t="shared" si="105"/>
        <v>-106.2404470755954</v>
      </c>
      <c r="Q95" s="58">
        <f t="shared" si="89"/>
        <v>-0.14193335912260707</v>
      </c>
      <c r="R95" s="52">
        <f>'FY 2013 by Agency'!R95*Inflator!$E$8</f>
        <v>750.88187372708751</v>
      </c>
      <c r="S95" s="52">
        <f t="shared" si="90"/>
        <v>108.59887478305382</v>
      </c>
      <c r="T95" s="58">
        <f t="shared" si="91"/>
        <v>0.16908259281593835</v>
      </c>
      <c r="U95" s="52">
        <f>'FY 2013 by Agency'!U95*Inflator!$E$9</f>
        <v>724.44098143236067</v>
      </c>
      <c r="V95" s="52">
        <f t="shared" si="106"/>
        <v>-26.440892294726837</v>
      </c>
      <c r="W95" s="58">
        <f t="shared" si="107"/>
        <v>-3.5213118361060523E-2</v>
      </c>
      <c r="X95" s="52">
        <f>'FY 2013 by Agency'!X95*Inflator!$E$10</f>
        <v>629.09939663385205</v>
      </c>
      <c r="Y95" s="39">
        <f t="shared" si="108"/>
        <v>-95.34158479850862</v>
      </c>
      <c r="Z95" s="58">
        <f t="shared" si="92"/>
        <v>-0.13160711119627685</v>
      </c>
      <c r="AA95" s="52">
        <f>'FY 2013 by Agency'!AA95*Inflator!$E$11</f>
        <v>843.27556546670928</v>
      </c>
      <c r="AB95" s="39">
        <f t="shared" si="93"/>
        <v>214.17616883285723</v>
      </c>
      <c r="AC95" s="58">
        <f t="shared" si="94"/>
        <v>0.34044885431278182</v>
      </c>
      <c r="AD95" s="52" t="e">
        <f>'FY 2013 by Agency'!AD95*Inflator!#REF!</f>
        <v>#REF!</v>
      </c>
      <c r="AE95" s="52">
        <f>'FY 2013 by Agency'!AE95*Inflator!$B$8</f>
        <v>0</v>
      </c>
      <c r="AF95" s="52">
        <f>'FY 2013 by Agency'!AF95*Inflator!$E$12</f>
        <v>845.2418546365916</v>
      </c>
      <c r="AG95" s="52">
        <f t="shared" si="95"/>
        <v>1.9662891698823159</v>
      </c>
      <c r="AH95" s="58">
        <f t="shared" si="96"/>
        <v>2.3317279077024805E-3</v>
      </c>
      <c r="AI95" s="52">
        <f>'FY 2013 by Agency'!AI95*Inflator!$B$8</f>
        <v>0</v>
      </c>
      <c r="AJ95" s="52">
        <f>'FY 2013 by Agency'!AJ95*Inflator!$B$8</f>
        <v>0</v>
      </c>
      <c r="AK95" s="52">
        <f>'FY 2013 by Agency'!AK95</f>
        <v>838</v>
      </c>
      <c r="AL95" s="52">
        <f>'FY 2013 by Agency'!AL95</f>
        <v>0</v>
      </c>
      <c r="AM95" s="52">
        <f>'FY 2013 by Agency'!AM95</f>
        <v>838</v>
      </c>
      <c r="AN95" s="52">
        <f>'FY 2013 by Agency'!AN95</f>
        <v>709</v>
      </c>
      <c r="AO95" s="52">
        <f>'FY 2013 by Agency'!AO95</f>
        <v>709</v>
      </c>
      <c r="AP95" s="52">
        <f>'FY 2013 by Agency'!AP95</f>
        <v>28</v>
      </c>
      <c r="AQ95" s="52">
        <f>'FY 2013 by Agency'!AQ95</f>
        <v>2</v>
      </c>
      <c r="AR95" s="52">
        <f>'FY 2013 by Agency'!AR95</f>
        <v>30</v>
      </c>
      <c r="AS95" s="52">
        <f>'FY 2013 by Agency'!AS95</f>
        <v>660.24746000000005</v>
      </c>
      <c r="AT95" s="52" t="e">
        <f t="shared" si="97"/>
        <v>#REF!</v>
      </c>
      <c r="AU95" s="58" t="e">
        <f t="shared" si="98"/>
        <v>#REF!</v>
      </c>
      <c r="AV95" s="52">
        <f t="shared" si="99"/>
        <v>-184.99439463659155</v>
      </c>
      <c r="AW95" s="58">
        <f t="shared" si="100"/>
        <v>-0.21886563428183423</v>
      </c>
      <c r="AX95" s="282" t="s">
        <v>288</v>
      </c>
      <c r="AY95" s="280">
        <v>798.46699999999998</v>
      </c>
      <c r="AZ95" s="280">
        <f t="shared" si="101"/>
        <v>89.466999999999985</v>
      </c>
      <c r="BA95" s="280">
        <f t="shared" si="102"/>
        <v>-95.527394636591566</v>
      </c>
      <c r="BB95" s="280">
        <f t="shared" si="103"/>
        <v>749.71446000000003</v>
      </c>
      <c r="BC95" s="58">
        <f t="shared" si="104"/>
        <v>-0.11301782337513699</v>
      </c>
      <c r="BD95" s="291">
        <v>18.934999999999999</v>
      </c>
      <c r="BE95" s="51">
        <f t="shared" si="109"/>
        <v>2.3714192321035183E-2</v>
      </c>
      <c r="BF95" s="220">
        <v>19</v>
      </c>
      <c r="BI95" s="219">
        <v>768</v>
      </c>
      <c r="BJ95" s="280">
        <f t="shared" si="110"/>
        <v>-30.466999999999985</v>
      </c>
      <c r="BK95" s="39">
        <f t="shared" si="111"/>
        <v>798</v>
      </c>
      <c r="BL95" s="568">
        <f>'FY 2013 by Agency'!AS95*Inflator!$E$13</f>
        <v>684.62644768996051</v>
      </c>
      <c r="BM95" s="256">
        <f t="shared" si="112"/>
        <v>-160.61540694663108</v>
      </c>
      <c r="BN95" s="51">
        <f t="shared" si="113"/>
        <v>-0.19002301656688197</v>
      </c>
      <c r="BO95" s="52">
        <f>'FY 2013 by Agency'!AX95*Inflator!$E$13</f>
        <v>796.35764418675626</v>
      </c>
      <c r="BP95" s="52">
        <f t="shared" si="74"/>
        <v>-48.884210449835336</v>
      </c>
      <c r="BQ95" s="51">
        <f t="shared" si="75"/>
        <v>-5.7834583299064039E-2</v>
      </c>
      <c r="BR95" s="52">
        <f>'FY 2013 by Agency'!BE95*Inflator!$E$14</f>
        <v>900.99253508510014</v>
      </c>
      <c r="BS95" s="52">
        <f t="shared" si="76"/>
        <v>104.63489089834388</v>
      </c>
      <c r="BT95" s="51">
        <f t="shared" si="77"/>
        <v>0.13139183338309945</v>
      </c>
      <c r="BU95" s="52">
        <f>'FY 2013 by Agency'!BL95*Inflator!$E$14</f>
        <v>923.31442221558677</v>
      </c>
      <c r="BV95" s="52">
        <f t="shared" si="114"/>
        <v>238.68797452562626</v>
      </c>
      <c r="BW95" s="487">
        <v>907</v>
      </c>
      <c r="BX95" s="39">
        <f>'FY 2013 by Agency'!BW95*Inflator!E15</f>
        <v>950</v>
      </c>
      <c r="BY95" s="595">
        <v>1389</v>
      </c>
      <c r="BZ95" s="39">
        <f t="shared" si="72"/>
        <v>6.007464914899856</v>
      </c>
      <c r="CA95" s="51">
        <f t="shared" si="73"/>
        <v>6.6676078668425837E-3</v>
      </c>
      <c r="CC95" s="39"/>
    </row>
    <row r="96" spans="1:81" ht="18" customHeight="1">
      <c r="A96" s="59" t="s">
        <v>69</v>
      </c>
      <c r="B96" s="322">
        <f>'FY 2013 by Agency'!B96*Inflator!$E$2</f>
        <v>0</v>
      </c>
      <c r="C96" s="322">
        <f>'FY 2013 by Agency'!C96*Inflator!$E$3</f>
        <v>5791.5680061823805</v>
      </c>
      <c r="D96" s="322">
        <f t="shared" si="78"/>
        <v>5791.5680061823805</v>
      </c>
      <c r="E96" s="325" t="s">
        <v>78</v>
      </c>
      <c r="F96" s="10">
        <f>'FY 2013 by Agency'!F96*Inflator!$E$4</f>
        <v>6264.3753330795589</v>
      </c>
      <c r="G96" s="10">
        <f t="shared" si="80"/>
        <v>472.80732689717843</v>
      </c>
      <c r="H96" s="14">
        <f t="shared" si="81"/>
        <v>8.1637188131515728E-2</v>
      </c>
      <c r="I96" s="10">
        <f>'FY 2013 by Agency'!I96*Inflator!$E$5</f>
        <v>6453.5462997396817</v>
      </c>
      <c r="J96" s="10">
        <f t="shared" si="82"/>
        <v>189.17096666012276</v>
      </c>
      <c r="K96" s="14">
        <f t="shared" si="83"/>
        <v>3.0197897891141613E-2</v>
      </c>
      <c r="L96" s="10">
        <f>'FY 2013 by Agency'!L96*Inflator!$E$6</f>
        <v>7276.487822609959</v>
      </c>
      <c r="M96" s="10">
        <f t="shared" si="84"/>
        <v>822.94152287027737</v>
      </c>
      <c r="N96" s="14">
        <f t="shared" si="85"/>
        <v>0.12751772198542569</v>
      </c>
      <c r="O96" s="10">
        <f>'FY 2013 by Agency'!O96*Inflator!$E$7</f>
        <v>7609.3192537838777</v>
      </c>
      <c r="P96" s="52">
        <f t="shared" si="105"/>
        <v>332.83143117391865</v>
      </c>
      <c r="Q96" s="58">
        <f t="shared" si="89"/>
        <v>4.5740670401415912E-2</v>
      </c>
      <c r="R96" s="52">
        <f>'FY 2013 by Agency'!R96*Inflator!$E$8</f>
        <v>9859.5057705363197</v>
      </c>
      <c r="S96" s="52">
        <f t="shared" si="90"/>
        <v>2250.186516752442</v>
      </c>
      <c r="T96" s="58">
        <f t="shared" si="91"/>
        <v>0.29571456285442277</v>
      </c>
      <c r="U96" s="52">
        <f>'FY 2013 by Agency'!U96*Inflator!$E$9</f>
        <v>9395.1996021220148</v>
      </c>
      <c r="V96" s="52">
        <f t="shared" si="106"/>
        <v>-464.30616841430492</v>
      </c>
      <c r="W96" s="58">
        <f t="shared" si="107"/>
        <v>-4.7092235576535232E-2</v>
      </c>
      <c r="X96" s="52">
        <f>'FY 2013 by Agency'!X96*Inflator!$E$10</f>
        <v>9890.780565258814</v>
      </c>
      <c r="Y96" s="39">
        <f t="shared" si="108"/>
        <v>495.58096313679926</v>
      </c>
      <c r="Z96" s="58">
        <f t="shared" si="92"/>
        <v>5.2748316600412251E-2</v>
      </c>
      <c r="AA96" s="52">
        <f>'FY 2013 by Agency'!AA96*Inflator!$E$11</f>
        <v>10846.753743230331</v>
      </c>
      <c r="AB96" s="39">
        <f t="shared" si="93"/>
        <v>955.97317797151663</v>
      </c>
      <c r="AC96" s="58">
        <f t="shared" si="94"/>
        <v>9.6652955918297784E-2</v>
      </c>
      <c r="AD96" s="52" t="e">
        <f>'FY 2013 by Agency'!AD96*Inflator!#REF!</f>
        <v>#REF!</v>
      </c>
      <c r="AE96" s="52">
        <f>'FY 2013 by Agency'!AE96*Inflator!$B$8</f>
        <v>0</v>
      </c>
      <c r="AF96" s="52">
        <f>'FY 2013 by Agency'!AF96*Inflator!$E$12</f>
        <v>8595.0664160401011</v>
      </c>
      <c r="AG96" s="52">
        <f t="shared" si="95"/>
        <v>-2251.6873271902296</v>
      </c>
      <c r="AH96" s="58">
        <f t="shared" si="96"/>
        <v>-0.20759089590243082</v>
      </c>
      <c r="AI96" s="52">
        <f>'FY 2013 by Agency'!AI96*Inflator!$B$8</f>
        <v>0</v>
      </c>
      <c r="AJ96" s="52">
        <f>'FY 2013 by Agency'!AJ96*Inflator!$B$8</f>
        <v>0</v>
      </c>
      <c r="AK96" s="52">
        <f>'FY 2013 by Agency'!AK96</f>
        <v>8630</v>
      </c>
      <c r="AL96" s="52">
        <f>'FY 2013 by Agency'!AL96</f>
        <v>0</v>
      </c>
      <c r="AM96" s="52">
        <f>'FY 2013 by Agency'!AM96</f>
        <v>8630</v>
      </c>
      <c r="AN96" s="52">
        <f>'FY 2013 by Agency'!AN96</f>
        <v>7396</v>
      </c>
      <c r="AO96" s="52">
        <f>'FY 2013 by Agency'!AO96</f>
        <v>7664</v>
      </c>
      <c r="AP96" s="52">
        <f>'FY 2013 by Agency'!AP96</f>
        <v>742</v>
      </c>
      <c r="AQ96" s="52">
        <f>'FY 2013 by Agency'!AQ96</f>
        <v>47</v>
      </c>
      <c r="AR96" s="52">
        <f>'FY 2013 by Agency'!AR96</f>
        <v>789</v>
      </c>
      <c r="AS96" s="52">
        <f>'FY 2013 by Agency'!AS96</f>
        <v>7942.7015199999996</v>
      </c>
      <c r="AT96" s="52" t="e">
        <f t="shared" si="97"/>
        <v>#REF!</v>
      </c>
      <c r="AU96" s="58" t="e">
        <f t="shared" si="98"/>
        <v>#REF!</v>
      </c>
      <c r="AV96" s="52">
        <f t="shared" si="99"/>
        <v>-652.36489604010148</v>
      </c>
      <c r="AW96" s="58">
        <f t="shared" si="100"/>
        <v>-7.5899924964239834E-2</v>
      </c>
      <c r="AX96" s="282" t="s">
        <v>289</v>
      </c>
      <c r="AY96" s="280">
        <v>7668.2113799999997</v>
      </c>
      <c r="AZ96" s="280">
        <f t="shared" si="101"/>
        <v>4.2113799999997354</v>
      </c>
      <c r="BA96" s="280">
        <f t="shared" si="102"/>
        <v>-648.15351604010175</v>
      </c>
      <c r="BB96" s="280">
        <f t="shared" si="103"/>
        <v>7946.9128999999994</v>
      </c>
      <c r="BC96" s="58">
        <f t="shared" si="104"/>
        <v>-7.5409948529370108E-2</v>
      </c>
      <c r="BD96" s="291">
        <v>65.537999999999997</v>
      </c>
      <c r="BE96" s="51">
        <f t="shared" si="109"/>
        <v>8.5467127537634472E-3</v>
      </c>
      <c r="BF96" s="50">
        <v>243</v>
      </c>
      <c r="BI96" s="219">
        <v>7378</v>
      </c>
      <c r="BJ96" s="280">
        <f t="shared" si="110"/>
        <v>-290.21137999999974</v>
      </c>
      <c r="BK96" s="39">
        <f t="shared" si="111"/>
        <v>8167</v>
      </c>
      <c r="BL96" s="568">
        <f>'FY 2013 by Agency'!AS96*Inflator!$E$13</f>
        <v>8235.9779569606362</v>
      </c>
      <c r="BM96" s="256">
        <f t="shared" si="112"/>
        <v>-359.08845907946488</v>
      </c>
      <c r="BN96" s="51">
        <f t="shared" si="113"/>
        <v>-4.1778439129840174E-2</v>
      </c>
      <c r="BO96" s="52">
        <f>'FY 2013 by Agency'!AX96*Inflator!$E$13</f>
        <v>7650.4253890753753</v>
      </c>
      <c r="BP96" s="52">
        <f t="shared" si="74"/>
        <v>-944.64102696472582</v>
      </c>
      <c r="BQ96" s="51">
        <f t="shared" si="75"/>
        <v>-0.10990502937846275</v>
      </c>
      <c r="BR96" s="52">
        <f>'FY 2013 by Agency'!BE96*Inflator!$E$14</f>
        <v>7679.7438041206333</v>
      </c>
      <c r="BS96" s="52">
        <f t="shared" si="76"/>
        <v>29.318415045258007</v>
      </c>
      <c r="BT96" s="51">
        <f t="shared" si="77"/>
        <v>3.8322594567256358E-3</v>
      </c>
      <c r="BU96" s="52">
        <f>'FY 2013 by Agency'!BL96*Inflator!$E$14</f>
        <v>9992.0883845924163</v>
      </c>
      <c r="BV96" s="52">
        <f t="shared" si="114"/>
        <v>1756.1104276317801</v>
      </c>
      <c r="BW96" s="487">
        <v>7884</v>
      </c>
      <c r="BX96" s="39">
        <f>'FY 2013 by Agency'!BW96*Inflator!E15</f>
        <v>10965</v>
      </c>
      <c r="BY96" s="595">
        <v>7834</v>
      </c>
      <c r="BZ96" s="39">
        <f t="shared" si="72"/>
        <v>204.25619587936671</v>
      </c>
      <c r="CA96" s="51">
        <f t="shared" si="73"/>
        <v>2.6596746075015065E-2</v>
      </c>
      <c r="CC96" s="39"/>
    </row>
    <row r="97" spans="1:82" ht="18" customHeight="1">
      <c r="A97" s="59" t="s">
        <v>16</v>
      </c>
      <c r="B97" s="322">
        <f>'FY 2013 by Agency'!B97*Inflator!$E$2</f>
        <v>0</v>
      </c>
      <c r="C97" s="322">
        <f>'FY 2013 by Agency'!C97*Inflator!$E$3</f>
        <v>0</v>
      </c>
      <c r="D97" s="322">
        <f t="shared" si="78"/>
        <v>0</v>
      </c>
      <c r="E97" s="325" t="s">
        <v>78</v>
      </c>
      <c r="F97" s="10">
        <f>'FY 2013 by Agency'!F97*Inflator!$E$4</f>
        <v>0</v>
      </c>
      <c r="G97" s="10">
        <f t="shared" si="80"/>
        <v>0</v>
      </c>
      <c r="H97" s="325" t="s">
        <v>78</v>
      </c>
      <c r="I97" s="10">
        <f>'FY 2013 by Agency'!I97*Inflator!$E$5</f>
        <v>117.52101152844925</v>
      </c>
      <c r="J97" s="10">
        <f t="shared" si="82"/>
        <v>117.52101152844925</v>
      </c>
      <c r="K97" s="324" t="s">
        <v>78</v>
      </c>
      <c r="L97" s="10">
        <f>'FY 2013 by Agency'!L97*Inflator!$E$6</f>
        <v>4045.238095238095</v>
      </c>
      <c r="M97" s="10">
        <f t="shared" si="84"/>
        <v>3927.7170837096455</v>
      </c>
      <c r="N97" s="14">
        <f t="shared" si="85"/>
        <v>33.421402969790059</v>
      </c>
      <c r="O97" s="10">
        <f>'FY 2013 by Agency'!O97*Inflator!$E$7</f>
        <v>4330.9250263991544</v>
      </c>
      <c r="P97" s="52">
        <f t="shared" si="105"/>
        <v>285.68693116105942</v>
      </c>
      <c r="Q97" s="58">
        <f t="shared" si="89"/>
        <v>7.0623020063357841E-2</v>
      </c>
      <c r="R97" s="52">
        <f>'FY 2013 by Agency'!R97*Inflator!$E$8</f>
        <v>6436.1303462321785</v>
      </c>
      <c r="S97" s="52">
        <f t="shared" si="90"/>
        <v>2105.2053198330241</v>
      </c>
      <c r="T97" s="58">
        <f t="shared" si="91"/>
        <v>0.48608676137331969</v>
      </c>
      <c r="U97" s="52">
        <f>'FY 2013 by Agency'!U97*Inflator!$E$9</f>
        <v>5669.3421750663128</v>
      </c>
      <c r="V97" s="52">
        <f t="shared" si="106"/>
        <v>-766.78817116586561</v>
      </c>
      <c r="W97" s="58">
        <f t="shared" si="107"/>
        <v>-0.11913807364307913</v>
      </c>
      <c r="X97" s="52">
        <f>'FY 2013 by Agency'!X97*Inflator!$E$10</f>
        <v>7635.5185773261364</v>
      </c>
      <c r="Y97" s="39">
        <f t="shared" si="108"/>
        <v>1966.1764022598236</v>
      </c>
      <c r="Z97" s="58">
        <f t="shared" si="92"/>
        <v>0.34680856112496433</v>
      </c>
      <c r="AA97" s="52">
        <f>'FY 2013 by Agency'!AA97*Inflator!$E$11</f>
        <v>8390.5377508760757</v>
      </c>
      <c r="AB97" s="39">
        <f t="shared" si="93"/>
        <v>755.0191735499393</v>
      </c>
      <c r="AC97" s="58">
        <f t="shared" si="94"/>
        <v>9.8882501025141581E-2</v>
      </c>
      <c r="AD97" s="52" t="e">
        <f>'FY 2013 by Agency'!AD97*Inflator!#REF!</f>
        <v>#REF!</v>
      </c>
      <c r="AE97" s="52">
        <f>'FY 2013 by Agency'!AE97*Inflator!$B$8</f>
        <v>0</v>
      </c>
      <c r="AF97" s="52">
        <f>'FY 2013 by Agency'!AF97*Inflator!$E$12</f>
        <v>7454.9479949874694</v>
      </c>
      <c r="AG97" s="52">
        <f t="shared" si="95"/>
        <v>-935.58975588860631</v>
      </c>
      <c r="AH97" s="58">
        <f t="shared" si="96"/>
        <v>-0.11150533895052427</v>
      </c>
      <c r="AI97" s="52">
        <f>'FY 2013 by Agency'!AI97*Inflator!$B$8</f>
        <v>0</v>
      </c>
      <c r="AJ97" s="52">
        <f>'FY 2013 by Agency'!AJ97*Inflator!$B$8</f>
        <v>0</v>
      </c>
      <c r="AK97" s="52">
        <f>'FY 2013 by Agency'!AK97</f>
        <v>6719</v>
      </c>
      <c r="AL97" s="52">
        <f>'FY 2013 by Agency'!AL97</f>
        <v>0</v>
      </c>
      <c r="AM97" s="52">
        <f>'FY 2013 by Agency'!AM97</f>
        <v>6719</v>
      </c>
      <c r="AN97" s="52">
        <f>'FY 2013 by Agency'!AN97</f>
        <v>7451</v>
      </c>
      <c r="AO97" s="52">
        <f>'FY 2013 by Agency'!AO97</f>
        <v>7460</v>
      </c>
      <c r="AP97" s="52">
        <f>'FY 2013 by Agency'!AP97</f>
        <v>76</v>
      </c>
      <c r="AQ97" s="52">
        <f>'FY 2013 by Agency'!AQ97</f>
        <v>15</v>
      </c>
      <c r="AR97" s="52">
        <f>'FY 2013 by Agency'!AR97</f>
        <v>91</v>
      </c>
      <c r="AS97" s="52">
        <f>'FY 2013 by Agency'!AS97</f>
        <v>6801.4298999999992</v>
      </c>
      <c r="AT97" s="52" t="e">
        <f t="shared" si="97"/>
        <v>#REF!</v>
      </c>
      <c r="AU97" s="58" t="e">
        <f t="shared" si="98"/>
        <v>#REF!</v>
      </c>
      <c r="AV97" s="52">
        <f t="shared" si="99"/>
        <v>-653.51809498747025</v>
      </c>
      <c r="AW97" s="58">
        <f t="shared" si="100"/>
        <v>-8.7662327815952623E-2</v>
      </c>
      <c r="AX97" s="282" t="s">
        <v>290</v>
      </c>
      <c r="AY97" s="280">
        <v>7101.1640699999998</v>
      </c>
      <c r="AZ97" s="280">
        <f t="shared" si="101"/>
        <v>-358.83593000000019</v>
      </c>
      <c r="BA97" s="280">
        <f t="shared" si="102"/>
        <v>-1012.3540249874704</v>
      </c>
      <c r="BB97" s="280">
        <f t="shared" si="103"/>
        <v>6442.593969999999</v>
      </c>
      <c r="BC97" s="58">
        <f t="shared" si="104"/>
        <v>-0.1357962558113287</v>
      </c>
      <c r="BD97" s="291">
        <v>64.623000000000005</v>
      </c>
      <c r="BE97" s="51">
        <f t="shared" si="109"/>
        <v>9.1003389533006532E-3</v>
      </c>
      <c r="BF97" s="50">
        <v>133</v>
      </c>
      <c r="BI97" s="219">
        <v>6928</v>
      </c>
      <c r="BJ97" s="280">
        <f t="shared" si="110"/>
        <v>-173.16406999999981</v>
      </c>
      <c r="BK97" s="39">
        <f t="shared" si="111"/>
        <v>7019</v>
      </c>
      <c r="BL97" s="568">
        <f>'FY 2013 by Agency'!AS97*Inflator!$E$13</f>
        <v>7052.566005553861</v>
      </c>
      <c r="BM97" s="256">
        <f t="shared" si="112"/>
        <v>-402.3819894336084</v>
      </c>
      <c r="BN97" s="51">
        <f t="shared" si="113"/>
        <v>-5.3975157131097427E-2</v>
      </c>
      <c r="BO97" s="52">
        <f>'FY 2013 by Agency'!AX97*Inflator!$E$13</f>
        <v>7183.8095819346972</v>
      </c>
      <c r="BP97" s="52">
        <f t="shared" si="74"/>
        <v>-271.13841305277219</v>
      </c>
      <c r="BQ97" s="51">
        <f t="shared" si="75"/>
        <v>-3.6370262171524101E-2</v>
      </c>
      <c r="BR97" s="52">
        <f>'FY 2013 by Agency'!BE97*Inflator!$E$14</f>
        <v>7748.7387279785016</v>
      </c>
      <c r="BS97" s="52">
        <f t="shared" si="76"/>
        <v>564.92914604380439</v>
      </c>
      <c r="BT97" s="51">
        <f t="shared" si="77"/>
        <v>7.8639214973688282E-2</v>
      </c>
      <c r="BU97" s="52">
        <f>'FY 2013 by Agency'!BL97*Inflator!$E$14</f>
        <v>8212.4252015527036</v>
      </c>
      <c r="BV97" s="52">
        <f t="shared" si="114"/>
        <v>1159.8591959988426</v>
      </c>
      <c r="BW97" s="487">
        <v>8852</v>
      </c>
      <c r="BX97" s="39">
        <f>'FY 2013 by Agency'!BW97*Inflator!E15</f>
        <v>9381</v>
      </c>
      <c r="BY97" s="595">
        <v>7962</v>
      </c>
      <c r="BZ97" s="39">
        <f t="shared" si="72"/>
        <v>1103.2612720214984</v>
      </c>
      <c r="CA97" s="51">
        <f t="shared" si="73"/>
        <v>0.14237946467828813</v>
      </c>
      <c r="CC97" s="39"/>
    </row>
    <row r="98" spans="1:82" ht="18" customHeight="1">
      <c r="A98" s="59" t="s">
        <v>17</v>
      </c>
      <c r="B98" s="322">
        <f>'FY 2013 by Agency'!B98*Inflator!$E$2</f>
        <v>0</v>
      </c>
      <c r="C98" s="322">
        <f>'FY 2013 by Agency'!C98*Inflator!$E$3</f>
        <v>0</v>
      </c>
      <c r="D98" s="322">
        <f t="shared" si="78"/>
        <v>0</v>
      </c>
      <c r="E98" s="325" t="s">
        <v>78</v>
      </c>
      <c r="F98" s="10">
        <f>'FY 2013 by Agency'!F98*Inflator!$E$4</f>
        <v>0</v>
      </c>
      <c r="G98" s="10">
        <f t="shared" si="80"/>
        <v>0</v>
      </c>
      <c r="H98" s="325" t="s">
        <v>78</v>
      </c>
      <c r="I98" s="10">
        <f>'FY 2013 by Agency'!I98*Inflator!$E$5</f>
        <v>0</v>
      </c>
      <c r="J98" s="10">
        <f t="shared" si="82"/>
        <v>0</v>
      </c>
      <c r="K98" s="324" t="s">
        <v>78</v>
      </c>
      <c r="L98" s="10">
        <f>'FY 2013 by Agency'!L98*Inflator!$E$6</f>
        <v>0</v>
      </c>
      <c r="M98" s="10">
        <f t="shared" si="84"/>
        <v>0</v>
      </c>
      <c r="N98" s="14" t="e">
        <f t="shared" si="85"/>
        <v>#DIV/0!</v>
      </c>
      <c r="O98" s="10">
        <f>'FY 2013 by Agency'!O98*Inflator!$E$7</f>
        <v>0</v>
      </c>
      <c r="P98" s="52">
        <f t="shared" si="105"/>
        <v>0</v>
      </c>
      <c r="Q98" s="58" t="e">
        <f t="shared" si="89"/>
        <v>#DIV/0!</v>
      </c>
      <c r="R98" s="52">
        <f>'FY 2013 by Agency'!R98*Inflator!$E$8</f>
        <v>0</v>
      </c>
      <c r="S98" s="52">
        <f>R98-O98</f>
        <v>0</v>
      </c>
      <c r="T98" s="58" t="e">
        <f>S98/O98</f>
        <v>#DIV/0!</v>
      </c>
      <c r="U98" s="52">
        <f>'FY 2013 by Agency'!U98*Inflator!$E$9</f>
        <v>0</v>
      </c>
      <c r="V98" s="52">
        <f t="shared" si="106"/>
        <v>0</v>
      </c>
      <c r="W98" s="60" t="s">
        <v>78</v>
      </c>
      <c r="X98" s="52">
        <f>'FY 2013 by Agency'!X98*Inflator!$E$10</f>
        <v>0</v>
      </c>
      <c r="Y98" s="39">
        <f t="shared" si="108"/>
        <v>0</v>
      </c>
      <c r="Z98" s="61" t="s">
        <v>127</v>
      </c>
      <c r="AA98" s="52">
        <f>'FY 2013 by Agency'!AA98*Inflator!$E$11</f>
        <v>0</v>
      </c>
      <c r="AB98" s="39">
        <f t="shared" si="93"/>
        <v>0</v>
      </c>
      <c r="AC98" s="58" t="e">
        <f t="shared" si="94"/>
        <v>#DIV/0!</v>
      </c>
      <c r="AD98" s="52" t="e">
        <f>'FY 2013 by Agency'!AD98*Inflator!#REF!</f>
        <v>#REF!</v>
      </c>
      <c r="AE98" s="52">
        <f>'FY 2013 by Agency'!AE98*Inflator!$B$8</f>
        <v>0</v>
      </c>
      <c r="AF98" s="52">
        <f>'FY 2013 by Agency'!AF98*Inflator!$E$12</f>
        <v>0</v>
      </c>
      <c r="AG98" s="52">
        <f t="shared" si="95"/>
        <v>0</v>
      </c>
      <c r="AH98" s="58" t="e">
        <f t="shared" si="96"/>
        <v>#DIV/0!</v>
      </c>
      <c r="AI98" s="52">
        <f>'FY 2013 by Agency'!AI98*Inflator!$B$8</f>
        <v>0</v>
      </c>
      <c r="AJ98" s="52">
        <f>'FY 2013 by Agency'!AJ98*Inflator!$B$8</f>
        <v>0</v>
      </c>
      <c r="AK98" s="52">
        <f>'FY 2013 by Agency'!AK98</f>
        <v>0</v>
      </c>
      <c r="AL98" s="52">
        <f>'FY 2013 by Agency'!AL98</f>
        <v>25</v>
      </c>
      <c r="AM98" s="52">
        <f>'FY 2013 by Agency'!AM98</f>
        <v>25</v>
      </c>
      <c r="AN98" s="52">
        <f>'FY 2013 by Agency'!AN98</f>
        <v>0</v>
      </c>
      <c r="AO98" s="52">
        <f>'FY 2013 by Agency'!AO98</f>
        <v>0</v>
      </c>
      <c r="AP98" s="52">
        <f>'FY 2013 by Agency'!AP98</f>
        <v>0</v>
      </c>
      <c r="AQ98" s="52">
        <f>'FY 2013 by Agency'!AQ98</f>
        <v>0</v>
      </c>
      <c r="AR98" s="52">
        <f>'FY 2013 by Agency'!AR98</f>
        <v>0</v>
      </c>
      <c r="AS98" s="52">
        <f>'FY 2013 by Agency'!AS98</f>
        <v>0</v>
      </c>
      <c r="AT98" s="52" t="e">
        <f t="shared" si="97"/>
        <v>#REF!</v>
      </c>
      <c r="AU98" s="58" t="e">
        <f t="shared" si="98"/>
        <v>#REF!</v>
      </c>
      <c r="AV98" s="52">
        <f t="shared" si="99"/>
        <v>0</v>
      </c>
      <c r="AW98" s="58" t="e">
        <f t="shared" si="100"/>
        <v>#DIV/0!</v>
      </c>
      <c r="AX98" s="282" t="s">
        <v>291</v>
      </c>
      <c r="AY98" s="280">
        <v>130</v>
      </c>
      <c r="AZ98" s="280">
        <f t="shared" si="101"/>
        <v>130</v>
      </c>
      <c r="BA98" s="280">
        <f t="shared" si="102"/>
        <v>130</v>
      </c>
      <c r="BB98" s="280">
        <f t="shared" si="103"/>
        <v>130</v>
      </c>
      <c r="BC98" s="58" t="e">
        <f t="shared" si="104"/>
        <v>#DIV/0!</v>
      </c>
      <c r="BD98" s="291">
        <v>9</v>
      </c>
      <c r="BE98" s="51">
        <f t="shared" si="109"/>
        <v>6.9230769230769235E-2</v>
      </c>
      <c r="BI98" s="219">
        <v>130</v>
      </c>
      <c r="BJ98" s="280">
        <f t="shared" si="110"/>
        <v>0</v>
      </c>
      <c r="BK98" s="39">
        <f t="shared" si="111"/>
        <v>130</v>
      </c>
      <c r="BL98" s="568">
        <f>'FY 2013 by Agency'!AS98*Inflator!$E$13</f>
        <v>0</v>
      </c>
      <c r="BM98" s="256">
        <f t="shared" si="112"/>
        <v>0</v>
      </c>
      <c r="BN98" s="51" t="e">
        <f t="shared" si="113"/>
        <v>#DIV/0!</v>
      </c>
      <c r="BO98" s="52">
        <f>'FY 2013 by Agency'!AX98*Inflator!$E$13</f>
        <v>0</v>
      </c>
      <c r="BP98" s="52">
        <f t="shared" si="74"/>
        <v>0</v>
      </c>
      <c r="BQ98" s="51" t="e">
        <f t="shared" si="75"/>
        <v>#DIV/0!</v>
      </c>
      <c r="BR98" s="52">
        <f>'FY 2013 by Agency'!BE98*Inflator!$E$14</f>
        <v>0</v>
      </c>
      <c r="BS98" s="52">
        <f t="shared" si="76"/>
        <v>0</v>
      </c>
      <c r="BT98" s="51" t="e">
        <f t="shared" si="77"/>
        <v>#DIV/0!</v>
      </c>
      <c r="BU98" s="52">
        <f>'FY 2013 by Agency'!BL98*Inflator!$E$14</f>
        <v>0</v>
      </c>
      <c r="BV98" s="52">
        <f t="shared" si="114"/>
        <v>0</v>
      </c>
      <c r="BW98" s="39">
        <v>0</v>
      </c>
      <c r="BX98" s="39">
        <f>'FY 2013 by Agency'!BW98*Inflator!E15</f>
        <v>0</v>
      </c>
      <c r="BY98" s="534"/>
      <c r="BZ98" s="39">
        <f t="shared" si="72"/>
        <v>0</v>
      </c>
      <c r="CA98" s="51" t="e">
        <f t="shared" si="73"/>
        <v>#DIV/0!</v>
      </c>
      <c r="CC98" s="39"/>
    </row>
    <row r="99" spans="1:82" ht="18" customHeight="1">
      <c r="A99" s="59" t="s">
        <v>18</v>
      </c>
      <c r="B99" s="322">
        <f>'FY 2013 by Agency'!B99*Inflator!$E$2</f>
        <v>0</v>
      </c>
      <c r="C99" s="322">
        <f>'FY 2013 by Agency'!C99*Inflator!$E$3</f>
        <v>0</v>
      </c>
      <c r="D99" s="322">
        <f t="shared" si="78"/>
        <v>0</v>
      </c>
      <c r="E99" s="325" t="s">
        <v>78</v>
      </c>
      <c r="F99" s="10">
        <f>'FY 2013 by Agency'!F99*Inflator!$E$4</f>
        <v>0</v>
      </c>
      <c r="G99" s="10">
        <f t="shared" si="80"/>
        <v>0</v>
      </c>
      <c r="H99" s="325" t="s">
        <v>78</v>
      </c>
      <c r="I99" s="10">
        <f>'FY 2013 by Agency'!I99*Inflator!$E$5</f>
        <v>203.45035329118636</v>
      </c>
      <c r="J99" s="10">
        <f t="shared" si="82"/>
        <v>203.45035329118636</v>
      </c>
      <c r="K99" s="324" t="s">
        <v>78</v>
      </c>
      <c r="L99" s="10">
        <f>'FY 2013 by Agency'!L99*Inflator!$E$6</f>
        <v>328.55979643765897</v>
      </c>
      <c r="M99" s="10">
        <f t="shared" si="84"/>
        <v>125.10944314647261</v>
      </c>
      <c r="N99" s="14">
        <f t="shared" si="85"/>
        <v>0.61493844135729236</v>
      </c>
      <c r="O99" s="10">
        <f>'FY 2013 by Agency'!O99*Inflator!$E$7</f>
        <v>296.62231608588519</v>
      </c>
      <c r="P99" s="52">
        <f t="shared" si="105"/>
        <v>-31.937480351773786</v>
      </c>
      <c r="Q99" s="58">
        <f t="shared" si="89"/>
        <v>-9.7204468404379518E-2</v>
      </c>
      <c r="R99" s="52">
        <f>'FY 2013 by Agency'!R99*Inflator!$E$8</f>
        <v>317.19280380176508</v>
      </c>
      <c r="S99" s="52">
        <f>R99-O99</f>
        <v>20.570487715879892</v>
      </c>
      <c r="T99" s="58">
        <f>S99/O99</f>
        <v>6.9349090072925709E-2</v>
      </c>
      <c r="U99" s="52">
        <f>'FY 2013 by Agency'!U99*Inflator!$E$9</f>
        <v>321.09748010610076</v>
      </c>
      <c r="V99" s="52">
        <f t="shared" si="106"/>
        <v>3.9046763043356805</v>
      </c>
      <c r="W99" s="58">
        <f t="shared" si="107"/>
        <v>1.2310103689414003E-2</v>
      </c>
      <c r="X99" s="52">
        <f>'FY 2013 by Agency'!X99*Inflator!$E$10</f>
        <v>429.47094315655767</v>
      </c>
      <c r="Y99" s="39">
        <f t="shared" si="108"/>
        <v>108.37346305045691</v>
      </c>
      <c r="Z99" s="58">
        <f>Y99/U99</f>
        <v>0.33750954076203554</v>
      </c>
      <c r="AA99" s="52">
        <f>'FY 2013 by Agency'!AA99*Inflator!$E$11</f>
        <v>437.33418286078376</v>
      </c>
      <c r="AB99" s="39">
        <f t="shared" si="93"/>
        <v>7.8632397042260891</v>
      </c>
      <c r="AC99" s="58">
        <f t="shared" si="94"/>
        <v>1.8309130872585375E-2</v>
      </c>
      <c r="AD99" s="52" t="e">
        <f>'FY 2013 by Agency'!AD99*Inflator!#REF!</f>
        <v>#REF!</v>
      </c>
      <c r="AE99" s="52">
        <f>'FY 2013 by Agency'!AE99*Inflator!$B$8</f>
        <v>0</v>
      </c>
      <c r="AF99" s="52">
        <f>'FY 2013 by Agency'!AF99*Inflator!$E$12</f>
        <v>317.23182957393487</v>
      </c>
      <c r="AG99" s="52">
        <f t="shared" si="95"/>
        <v>-120.10235328684888</v>
      </c>
      <c r="AH99" s="58">
        <f t="shared" si="96"/>
        <v>-0.27462374996898187</v>
      </c>
      <c r="AI99" s="52">
        <f>'FY 2013 by Agency'!AI99*Inflator!$B$8</f>
        <v>0</v>
      </c>
      <c r="AJ99" s="52">
        <f>'FY 2013 by Agency'!AJ99*Inflator!$B$8</f>
        <v>0</v>
      </c>
      <c r="AK99" s="52">
        <f>'FY 2013 by Agency'!AK99</f>
        <v>305</v>
      </c>
      <c r="AL99" s="52">
        <f>'FY 2013 by Agency'!AL99</f>
        <v>0</v>
      </c>
      <c r="AM99" s="52">
        <f>'FY 2013 by Agency'!AM99</f>
        <v>305</v>
      </c>
      <c r="AN99" s="52">
        <f>'FY 2013 by Agency'!AN99</f>
        <v>199</v>
      </c>
      <c r="AO99" s="52">
        <f>'FY 2013 by Agency'!AO99</f>
        <v>199</v>
      </c>
      <c r="AP99" s="52">
        <f>'FY 2013 by Agency'!AP99</f>
        <v>0</v>
      </c>
      <c r="AQ99" s="52">
        <f>'FY 2013 by Agency'!AQ99</f>
        <v>0</v>
      </c>
      <c r="AR99" s="52">
        <f>'FY 2013 by Agency'!AR99</f>
        <v>0</v>
      </c>
      <c r="AS99" s="52">
        <f>'FY 2013 by Agency'!AS99</f>
        <v>173.09004999999999</v>
      </c>
      <c r="AT99" s="52" t="e">
        <f t="shared" si="97"/>
        <v>#REF!</v>
      </c>
      <c r="AU99" s="58" t="e">
        <f t="shared" si="98"/>
        <v>#REF!</v>
      </c>
      <c r="AV99" s="52">
        <f t="shared" si="99"/>
        <v>-144.14177957393488</v>
      </c>
      <c r="AW99" s="58">
        <f t="shared" si="100"/>
        <v>-0.45437363510315987</v>
      </c>
      <c r="AX99" s="282" t="s">
        <v>292</v>
      </c>
      <c r="AY99" s="280">
        <v>199.48599999999999</v>
      </c>
      <c r="AZ99" s="280">
        <f t="shared" si="101"/>
        <v>0.48599999999999</v>
      </c>
      <c r="BA99" s="280">
        <f t="shared" si="102"/>
        <v>-143.65577957393489</v>
      </c>
      <c r="BB99" s="280">
        <f t="shared" si="103"/>
        <v>173.57604999999998</v>
      </c>
      <c r="BC99" s="58">
        <f t="shared" si="104"/>
        <v>-0.45284163246441855</v>
      </c>
      <c r="BD99" s="291">
        <v>0</v>
      </c>
      <c r="BE99" s="51">
        <f t="shared" si="109"/>
        <v>0</v>
      </c>
      <c r="BI99" s="219">
        <v>195</v>
      </c>
      <c r="BJ99" s="280">
        <f t="shared" si="110"/>
        <v>-4.48599999999999</v>
      </c>
      <c r="BK99" s="39">
        <f t="shared" si="111"/>
        <v>195</v>
      </c>
      <c r="BL99" s="568">
        <f>'FY 2013 by Agency'!AS99*Inflator!$E$13</f>
        <v>179.48122975282271</v>
      </c>
      <c r="BM99" s="256">
        <f t="shared" si="112"/>
        <v>-137.75059982111216</v>
      </c>
      <c r="BN99" s="51">
        <f t="shared" si="113"/>
        <v>-0.4342269185476158</v>
      </c>
      <c r="BO99" s="52">
        <f>'FY 2013 by Agency'!AX99*Inflator!$E$13</f>
        <v>202.20018309429361</v>
      </c>
      <c r="BP99" s="52">
        <f t="shared" si="74"/>
        <v>-115.03164647964127</v>
      </c>
      <c r="BQ99" s="51">
        <f t="shared" si="75"/>
        <v>-0.36261067066989155</v>
      </c>
      <c r="BR99" s="52">
        <f>'FY 2013 by Agency'!BE99*Inflator!$E$14</f>
        <v>197.85309047476861</v>
      </c>
      <c r="BS99" s="52">
        <f t="shared" si="76"/>
        <v>-4.3470926195250001</v>
      </c>
      <c r="BT99" s="51">
        <f t="shared" si="77"/>
        <v>-2.1498954911914132E-2</v>
      </c>
      <c r="BU99" s="52">
        <f>'FY 2013 by Agency'!BL99*Inflator!$E$14</f>
        <v>197.85309047476861</v>
      </c>
      <c r="BV99" s="52">
        <f t="shared" si="114"/>
        <v>18.371860721945893</v>
      </c>
      <c r="BW99" s="39">
        <v>199</v>
      </c>
      <c r="BX99" s="39">
        <f>'FY 2013 by Agency'!BW99*Inflator!E15</f>
        <v>249</v>
      </c>
      <c r="BY99" s="534">
        <v>449</v>
      </c>
      <c r="BZ99" s="39">
        <f t="shared" si="72"/>
        <v>1.1469095252313934</v>
      </c>
      <c r="CA99" s="51">
        <f t="shared" si="73"/>
        <v>5.7967733659315982E-3</v>
      </c>
      <c r="CC99" s="39"/>
    </row>
    <row r="100" spans="1:82" ht="18" customHeight="1">
      <c r="A100" s="59" t="s">
        <v>173</v>
      </c>
      <c r="B100" s="325" t="s">
        <v>78</v>
      </c>
      <c r="C100" s="325" t="s">
        <v>78</v>
      </c>
      <c r="D100" s="325" t="s">
        <v>78</v>
      </c>
      <c r="E100" s="325" t="s">
        <v>78</v>
      </c>
      <c r="F100" s="325" t="s">
        <v>78</v>
      </c>
      <c r="G100" s="325" t="s">
        <v>78</v>
      </c>
      <c r="H100" s="325" t="s">
        <v>78</v>
      </c>
      <c r="I100" s="325" t="s">
        <v>78</v>
      </c>
      <c r="J100" s="325" t="s">
        <v>78</v>
      </c>
      <c r="K100" s="324" t="s">
        <v>78</v>
      </c>
      <c r="L100" s="10">
        <f>'FY 2013 by Agency'!L100*Inflator!$E$6</f>
        <v>931.33115230825149</v>
      </c>
      <c r="M100" s="325" t="s">
        <v>78</v>
      </c>
      <c r="N100" s="324" t="s">
        <v>78</v>
      </c>
      <c r="O100" s="10">
        <f>'FY 2013 by Agency'!O100*Inflator!$E$7</f>
        <v>873.12214009151694</v>
      </c>
      <c r="P100" s="69">
        <f t="shared" si="105"/>
        <v>-58.20901221673455</v>
      </c>
      <c r="Q100" s="58">
        <f t="shared" si="89"/>
        <v>-6.2500875303555359E-2</v>
      </c>
      <c r="R100" s="52">
        <f>'FY 2013 by Agency'!R100*Inflator!$E$8</f>
        <v>595.16904276985736</v>
      </c>
      <c r="S100" s="52">
        <f>R100-O100</f>
        <v>-277.95309732165958</v>
      </c>
      <c r="T100" s="58">
        <f>S100/O100</f>
        <v>-0.31834388862539409</v>
      </c>
      <c r="U100" s="52">
        <f>'FY 2013 by Agency'!U100*Inflator!$E$9</f>
        <v>913.71949602122015</v>
      </c>
      <c r="V100" s="52">
        <f t="shared" si="106"/>
        <v>318.5504532513628</v>
      </c>
      <c r="W100" s="58">
        <f t="shared" si="107"/>
        <v>0.5352268521374377</v>
      </c>
      <c r="X100" s="52">
        <f>'FY 2013 by Agency'!X100*Inflator!$E$10</f>
        <v>1591.6322642108607</v>
      </c>
      <c r="Y100" s="39">
        <f t="shared" si="108"/>
        <v>677.91276818964059</v>
      </c>
      <c r="Z100" s="58">
        <f>Y100/U100</f>
        <v>0.74192656624008035</v>
      </c>
      <c r="AA100" s="52">
        <f>'FY 2013 by Agency'!AA100*Inflator!$E$11</f>
        <v>1432.1611978337053</v>
      </c>
      <c r="AB100" s="39">
        <f t="shared" si="93"/>
        <v>-159.47106637715547</v>
      </c>
      <c r="AC100" s="58">
        <f t="shared" si="94"/>
        <v>-0.1001934114826593</v>
      </c>
      <c r="AD100" s="52" t="e">
        <f>'FY 2013 by Agency'!AD100*Inflator!#REF!</f>
        <v>#REF!</v>
      </c>
      <c r="AE100" s="52">
        <f>'FY 2013 by Agency'!AE100*Inflator!$B$8</f>
        <v>0</v>
      </c>
      <c r="AF100" s="52">
        <f>'FY 2013 by Agency'!AF100*Inflator!$E$12</f>
        <v>1376.4454887218046</v>
      </c>
      <c r="AG100" s="52">
        <f t="shared" si="95"/>
        <v>-55.715709111900651</v>
      </c>
      <c r="AH100" s="58">
        <f t="shared" si="96"/>
        <v>-3.8903238822680389E-2</v>
      </c>
      <c r="AI100" s="52">
        <f>'FY 2013 by Agency'!AI100*Inflator!$B$8</f>
        <v>0</v>
      </c>
      <c r="AJ100" s="52">
        <f>'FY 2013 by Agency'!AJ100*Inflator!$B$8</f>
        <v>0</v>
      </c>
      <c r="AK100" s="52">
        <f>'FY 2013 by Agency'!AK100</f>
        <v>1273</v>
      </c>
      <c r="AL100" s="52">
        <f>'FY 2013 by Agency'!AL100</f>
        <v>0</v>
      </c>
      <c r="AM100" s="52">
        <f>'FY 2013 by Agency'!AM100</f>
        <v>1273</v>
      </c>
      <c r="AN100" s="52">
        <f>'FY 2013 by Agency'!AN100</f>
        <v>1624</v>
      </c>
      <c r="AO100" s="52">
        <f>'FY 2013 by Agency'!AO100</f>
        <v>1624</v>
      </c>
      <c r="AP100" s="52">
        <f>'FY 2013 by Agency'!AP100</f>
        <v>0</v>
      </c>
      <c r="AQ100" s="52">
        <f>'FY 2013 by Agency'!AQ100</f>
        <v>0</v>
      </c>
      <c r="AR100" s="52">
        <f>'FY 2013 by Agency'!AR100</f>
        <v>0</v>
      </c>
      <c r="AS100" s="52">
        <f>'FY 2013 by Agency'!AS100</f>
        <v>1190.7141999999999</v>
      </c>
      <c r="AT100" s="52" t="e">
        <f t="shared" si="97"/>
        <v>#REF!</v>
      </c>
      <c r="AU100" s="58" t="e">
        <f t="shared" si="98"/>
        <v>#REF!</v>
      </c>
      <c r="AV100" s="52">
        <f t="shared" si="99"/>
        <v>-185.73128872180473</v>
      </c>
      <c r="AW100" s="58">
        <f t="shared" si="100"/>
        <v>-0.13493544803890389</v>
      </c>
      <c r="AX100" s="282" t="s">
        <v>293</v>
      </c>
      <c r="AY100" s="280">
        <v>1623.7539999999999</v>
      </c>
      <c r="AZ100" s="280">
        <f t="shared" si="101"/>
        <v>-0.24600000000009459</v>
      </c>
      <c r="BA100" s="280">
        <f t="shared" si="102"/>
        <v>-185.97728872180483</v>
      </c>
      <c r="BB100" s="280">
        <f t="shared" si="103"/>
        <v>1190.4681999999998</v>
      </c>
      <c r="BC100" s="58">
        <f t="shared" si="104"/>
        <v>-0.13511416924654762</v>
      </c>
      <c r="BD100" s="291">
        <v>3.972</v>
      </c>
      <c r="BE100" s="51">
        <f t="shared" si="109"/>
        <v>2.446183350433625E-3</v>
      </c>
      <c r="BI100" s="219">
        <v>1601</v>
      </c>
      <c r="BJ100" s="280">
        <f t="shared" si="110"/>
        <v>-22.753999999999905</v>
      </c>
      <c r="BK100" s="39">
        <f t="shared" si="111"/>
        <v>1601</v>
      </c>
      <c r="BL100" s="568">
        <f>'FY 2013 by Agency'!AS100*Inflator!$E$13</f>
        <v>1234.6801500152581</v>
      </c>
      <c r="BM100" s="256">
        <f t="shared" si="112"/>
        <v>-141.76533870654657</v>
      </c>
      <c r="BN100" s="51">
        <f t="shared" si="113"/>
        <v>-0.10299379079529895</v>
      </c>
      <c r="BO100" s="52">
        <f>'FY 2013 by Agency'!AX100*Inflator!$E$13</f>
        <v>1660.1153494049438</v>
      </c>
      <c r="BP100" s="52">
        <f t="shared" si="74"/>
        <v>283.66986068313918</v>
      </c>
      <c r="BQ100" s="51">
        <f t="shared" si="75"/>
        <v>0.20608869948533945</v>
      </c>
      <c r="BR100" s="52">
        <f>'FY 2013 by Agency'!BE100*Inflator!$E$14</f>
        <v>1573.6930426993133</v>
      </c>
      <c r="BS100" s="52">
        <f t="shared" si="76"/>
        <v>-86.42230670563049</v>
      </c>
      <c r="BT100" s="51">
        <f t="shared" si="77"/>
        <v>-5.2058013159512036E-2</v>
      </c>
      <c r="BU100" s="52">
        <f>'FY 2013 by Agency'!BL100*Inflator!$E$14</f>
        <v>1573.6930426993133</v>
      </c>
      <c r="BV100" s="52">
        <f t="shared" si="114"/>
        <v>339.01289268405526</v>
      </c>
      <c r="BW100" s="39">
        <v>0</v>
      </c>
      <c r="BX100" s="39">
        <f>'FY 2013 by Agency'!BW100*Inflator!E15</f>
        <v>0</v>
      </c>
      <c r="BY100" s="534"/>
      <c r="BZ100" s="39">
        <f t="shared" si="72"/>
        <v>-1573.6930426993133</v>
      </c>
      <c r="CA100" s="51">
        <f t="shared" si="73"/>
        <v>-1</v>
      </c>
      <c r="CC100" s="39"/>
    </row>
    <row r="101" spans="1:82" ht="18" customHeight="1">
      <c r="A101" s="59" t="s">
        <v>175</v>
      </c>
      <c r="B101" s="325" t="s">
        <v>78</v>
      </c>
      <c r="C101" s="325" t="s">
        <v>78</v>
      </c>
      <c r="D101" s="325" t="s">
        <v>78</v>
      </c>
      <c r="E101" s="325" t="s">
        <v>78</v>
      </c>
      <c r="F101" s="325" t="s">
        <v>78</v>
      </c>
      <c r="G101" s="325" t="s">
        <v>78</v>
      </c>
      <c r="H101" s="325" t="s">
        <v>78</v>
      </c>
      <c r="I101" s="325" t="s">
        <v>78</v>
      </c>
      <c r="J101" s="325" t="s">
        <v>78</v>
      </c>
      <c r="K101" s="324" t="s">
        <v>78</v>
      </c>
      <c r="L101" s="10">
        <f>'FY 2013 by Agency'!L101*Inflator!$E$6</f>
        <v>906.62740821519435</v>
      </c>
      <c r="M101" s="325" t="s">
        <v>78</v>
      </c>
      <c r="N101" s="324" t="s">
        <v>78</v>
      </c>
      <c r="O101" s="10">
        <f>'FY 2013 by Agency'!O101*Inflator!$E$7</f>
        <v>0</v>
      </c>
      <c r="P101" s="69">
        <f t="shared" si="105"/>
        <v>-906.62740821519435</v>
      </c>
      <c r="Q101" s="58">
        <f t="shared" si="89"/>
        <v>-1</v>
      </c>
      <c r="R101" s="52">
        <f>'FY 2013 by Agency'!R101*Inflator!$E$8</f>
        <v>0</v>
      </c>
      <c r="S101" s="52">
        <f>R101-O101</f>
        <v>0</v>
      </c>
      <c r="T101" s="60" t="s">
        <v>78</v>
      </c>
      <c r="U101" s="52">
        <f>'FY 2013 by Agency'!U101*Inflator!$E$9</f>
        <v>0</v>
      </c>
      <c r="V101" s="52">
        <f t="shared" si="106"/>
        <v>0</v>
      </c>
      <c r="W101" s="60" t="s">
        <v>78</v>
      </c>
      <c r="X101" s="52">
        <f>'FY 2013 by Agency'!X101*Inflator!$E$10</f>
        <v>0</v>
      </c>
      <c r="Y101" s="39">
        <f t="shared" si="108"/>
        <v>0</v>
      </c>
      <c r="Z101" s="61" t="s">
        <v>127</v>
      </c>
      <c r="AA101" s="52">
        <f>'FY 2013 by Agency'!AA101*Inflator!$E$11</f>
        <v>0</v>
      </c>
      <c r="AB101" s="39">
        <f t="shared" si="93"/>
        <v>0</v>
      </c>
      <c r="AC101" s="58" t="e">
        <f t="shared" si="94"/>
        <v>#DIV/0!</v>
      </c>
      <c r="AD101" s="52" t="e">
        <f>'FY 2013 by Agency'!AD101*Inflator!#REF!</f>
        <v>#REF!</v>
      </c>
      <c r="AE101" s="52">
        <f>'FY 2013 by Agency'!AE101*Inflator!$B$8</f>
        <v>0</v>
      </c>
      <c r="AF101" s="52">
        <f>'FY 2013 by Agency'!AF101*Inflator!$E$12</f>
        <v>0</v>
      </c>
      <c r="AG101" s="52">
        <f t="shared" si="95"/>
        <v>0</v>
      </c>
      <c r="AH101" s="58" t="e">
        <f t="shared" si="96"/>
        <v>#DIV/0!</v>
      </c>
      <c r="AI101" s="52">
        <f>'FY 2013 by Agency'!AI101*Inflator!$B$8</f>
        <v>0</v>
      </c>
      <c r="AJ101" s="52">
        <f>'FY 2013 by Agency'!AJ101*Inflator!$B$8</f>
        <v>0</v>
      </c>
      <c r="AK101" s="52">
        <f>'FY 2013 by Agency'!AK101</f>
        <v>0</v>
      </c>
      <c r="AL101" s="52">
        <f>'FY 2013 by Agency'!AL101</f>
        <v>0</v>
      </c>
      <c r="AM101" s="52">
        <f>'FY 2013 by Agency'!AM101</f>
        <v>0</v>
      </c>
      <c r="AN101" s="52">
        <f>'FY 2013 by Agency'!AN101</f>
        <v>0</v>
      </c>
      <c r="AO101" s="52">
        <f>'FY 2013 by Agency'!AO101</f>
        <v>0</v>
      </c>
      <c r="AP101" s="52">
        <f>'FY 2013 by Agency'!AP101</f>
        <v>0</v>
      </c>
      <c r="AQ101" s="52">
        <f>'FY 2013 by Agency'!AQ101</f>
        <v>0</v>
      </c>
      <c r="AR101" s="52">
        <f>'FY 2013 by Agency'!AR101</f>
        <v>0</v>
      </c>
      <c r="AS101" s="52">
        <f>'FY 2013 by Agency'!AS101</f>
        <v>0</v>
      </c>
      <c r="AT101" s="52" t="e">
        <f t="shared" si="97"/>
        <v>#REF!</v>
      </c>
      <c r="AU101" s="58" t="e">
        <f t="shared" si="98"/>
        <v>#REF!</v>
      </c>
      <c r="AV101" s="52">
        <f t="shared" si="99"/>
        <v>0</v>
      </c>
      <c r="AW101" s="58" t="e">
        <f t="shared" si="100"/>
        <v>#DIV/0!</v>
      </c>
      <c r="AX101" s="282" t="s">
        <v>295</v>
      </c>
      <c r="AY101" s="280">
        <v>0</v>
      </c>
      <c r="AZ101" s="280">
        <f t="shared" si="101"/>
        <v>0</v>
      </c>
      <c r="BA101" s="280">
        <f t="shared" si="102"/>
        <v>0</v>
      </c>
      <c r="BB101" s="280">
        <f t="shared" si="103"/>
        <v>0</v>
      </c>
      <c r="BC101" s="58" t="e">
        <f t="shared" si="104"/>
        <v>#DIV/0!</v>
      </c>
      <c r="BD101" s="291"/>
      <c r="BE101" s="51"/>
      <c r="BI101" s="65"/>
      <c r="BJ101" s="280">
        <f t="shared" si="110"/>
        <v>0</v>
      </c>
      <c r="BK101" s="39">
        <f t="shared" si="111"/>
        <v>0</v>
      </c>
      <c r="BL101" s="568">
        <f>'FY 2013 by Agency'!AS101*Inflator!$E$13</f>
        <v>0</v>
      </c>
      <c r="BM101" s="256">
        <f t="shared" si="112"/>
        <v>0</v>
      </c>
      <c r="BN101" s="51" t="e">
        <f t="shared" si="113"/>
        <v>#DIV/0!</v>
      </c>
      <c r="BO101" s="52">
        <f>'FY 2013 by Agency'!AX101*Inflator!$E$13</f>
        <v>0</v>
      </c>
      <c r="BP101" s="52">
        <f t="shared" si="74"/>
        <v>0</v>
      </c>
      <c r="BQ101" s="51" t="e">
        <f t="shared" si="75"/>
        <v>#DIV/0!</v>
      </c>
      <c r="BR101" s="52">
        <f>'FY 2013 by Agency'!BE101*Inflator!$E$14</f>
        <v>0</v>
      </c>
      <c r="BS101" s="52">
        <f t="shared" si="76"/>
        <v>0</v>
      </c>
      <c r="BT101" s="51" t="e">
        <f t="shared" si="77"/>
        <v>#DIV/0!</v>
      </c>
      <c r="BU101" s="52">
        <f>'FY 2013 by Agency'!BL101*Inflator!$E$14</f>
        <v>0</v>
      </c>
      <c r="BV101" s="52">
        <f t="shared" si="114"/>
        <v>0</v>
      </c>
      <c r="BW101" s="39">
        <v>0</v>
      </c>
      <c r="BX101" s="39">
        <f>'FY 2013 by Agency'!BW101*Inflator!E15</f>
        <v>0</v>
      </c>
      <c r="BY101" s="534"/>
      <c r="BZ101" s="39">
        <f t="shared" si="72"/>
        <v>0</v>
      </c>
      <c r="CA101" s="51" t="e">
        <f t="shared" si="73"/>
        <v>#DIV/0!</v>
      </c>
      <c r="CC101" s="39"/>
    </row>
    <row r="102" spans="1:82" ht="18" customHeight="1">
      <c r="A102" s="59" t="s">
        <v>112</v>
      </c>
      <c r="B102" s="325" t="s">
        <v>78</v>
      </c>
      <c r="C102" s="325" t="s">
        <v>78</v>
      </c>
      <c r="D102" s="325" t="s">
        <v>78</v>
      </c>
      <c r="E102" s="325" t="s">
        <v>78</v>
      </c>
      <c r="F102" s="325" t="s">
        <v>78</v>
      </c>
      <c r="G102" s="325" t="s">
        <v>78</v>
      </c>
      <c r="H102" s="325" t="s">
        <v>78</v>
      </c>
      <c r="I102" s="325" t="s">
        <v>78</v>
      </c>
      <c r="J102" s="325" t="s">
        <v>78</v>
      </c>
      <c r="K102" s="324" t="s">
        <v>78</v>
      </c>
      <c r="L102" s="10">
        <f>'FY 2013 by Agency'!L102*Inflator!$E$6</f>
        <v>0</v>
      </c>
      <c r="M102" s="325" t="s">
        <v>78</v>
      </c>
      <c r="N102" s="324" t="s">
        <v>78</v>
      </c>
      <c r="O102" s="10">
        <f>'FY 2013 by Agency'!O102*Inflator!$E$7</f>
        <v>0</v>
      </c>
      <c r="P102" s="69">
        <f t="shared" si="105"/>
        <v>0</v>
      </c>
      <c r="Q102" s="60" t="s">
        <v>78</v>
      </c>
      <c r="R102" s="52">
        <f>'FY 2013 by Agency'!R102*Inflator!$E$8</f>
        <v>0</v>
      </c>
      <c r="S102" s="52">
        <f t="shared" si="90"/>
        <v>0</v>
      </c>
      <c r="T102" s="60" t="s">
        <v>78</v>
      </c>
      <c r="U102" s="52">
        <f>'FY 2013 by Agency'!U102*Inflator!$E$9</f>
        <v>0</v>
      </c>
      <c r="V102" s="52">
        <f t="shared" si="106"/>
        <v>0</v>
      </c>
      <c r="W102" s="60" t="s">
        <v>78</v>
      </c>
      <c r="X102" s="52">
        <f>'FY 2013 by Agency'!X102*Inflator!$E$10</f>
        <v>0</v>
      </c>
      <c r="Y102" s="39">
        <f t="shared" si="108"/>
        <v>0</v>
      </c>
      <c r="Z102" s="61" t="s">
        <v>127</v>
      </c>
      <c r="AA102" s="52">
        <f>'FY 2013 by Agency'!AA102*Inflator!$E$11</f>
        <v>0</v>
      </c>
      <c r="AB102" s="39">
        <f t="shared" si="93"/>
        <v>0</v>
      </c>
      <c r="AC102" s="58" t="e">
        <f t="shared" si="94"/>
        <v>#DIV/0!</v>
      </c>
      <c r="AD102" s="52" t="e">
        <f>'FY 2013 by Agency'!AD102*Inflator!#REF!</f>
        <v>#REF!</v>
      </c>
      <c r="AE102" s="52">
        <f>'FY 2013 by Agency'!AE102*Inflator!$B$8</f>
        <v>0</v>
      </c>
      <c r="AF102" s="52">
        <f>'FY 2013 by Agency'!AF102*Inflator!$E$12</f>
        <v>0</v>
      </c>
      <c r="AG102" s="52">
        <f t="shared" si="95"/>
        <v>0</v>
      </c>
      <c r="AH102" s="58" t="e">
        <f t="shared" si="96"/>
        <v>#DIV/0!</v>
      </c>
      <c r="AI102" s="52">
        <f>'FY 2013 by Agency'!AI102*Inflator!$B$8</f>
        <v>0</v>
      </c>
      <c r="AJ102" s="52">
        <f>'FY 2013 by Agency'!AJ102*Inflator!$B$8</f>
        <v>0</v>
      </c>
      <c r="AK102" s="52">
        <f>'FY 2013 by Agency'!AK102</f>
        <v>3131</v>
      </c>
      <c r="AL102" s="52">
        <f>'FY 2013 by Agency'!AL102</f>
        <v>0</v>
      </c>
      <c r="AM102" s="52">
        <f>'FY 2013 by Agency'!AM102</f>
        <v>3131</v>
      </c>
      <c r="AN102" s="52">
        <f>'FY 2013 by Agency'!AN102</f>
        <v>2643</v>
      </c>
      <c r="AO102" s="52">
        <f>'FY 2013 by Agency'!AO102</f>
        <v>9777</v>
      </c>
      <c r="AP102" s="52">
        <f>'FY 2013 by Agency'!AP102</f>
        <v>0</v>
      </c>
      <c r="AQ102" s="52">
        <f>'FY 2013 by Agency'!AQ102</f>
        <v>0</v>
      </c>
      <c r="AR102" s="52">
        <f>'FY 2013 by Agency'!AR102</f>
        <v>0</v>
      </c>
      <c r="AS102" s="52">
        <f>'FY 2013 by Agency'!AS102</f>
        <v>5402.3288599999996</v>
      </c>
      <c r="AT102" s="52" t="e">
        <f t="shared" si="97"/>
        <v>#REF!</v>
      </c>
      <c r="AU102" s="58" t="e">
        <f t="shared" si="98"/>
        <v>#REF!</v>
      </c>
      <c r="AV102" s="52">
        <f t="shared" si="99"/>
        <v>5402.3288599999996</v>
      </c>
      <c r="AW102" s="58" t="e">
        <f t="shared" si="100"/>
        <v>#DIV/0!</v>
      </c>
      <c r="AX102" s="282" t="s">
        <v>296</v>
      </c>
      <c r="AY102" s="280">
        <v>9777.3339999999989</v>
      </c>
      <c r="AZ102" s="280">
        <f t="shared" si="101"/>
        <v>0.33399999999892316</v>
      </c>
      <c r="BA102" s="280">
        <f t="shared" si="102"/>
        <v>5402.6628599999985</v>
      </c>
      <c r="BB102" s="280">
        <f t="shared" si="103"/>
        <v>5402.6628599999985</v>
      </c>
      <c r="BC102" s="58" t="e">
        <f t="shared" si="104"/>
        <v>#DIV/0!</v>
      </c>
      <c r="BD102" s="291">
        <v>252.02199999999999</v>
      </c>
      <c r="BE102" s="51">
        <f t="shared" si="109"/>
        <v>2.5776147158315346E-2</v>
      </c>
      <c r="BF102" s="50">
        <v>264</v>
      </c>
      <c r="BI102" s="219">
        <v>9507</v>
      </c>
      <c r="BJ102" s="280">
        <f t="shared" si="110"/>
        <v>-270.33399999999892</v>
      </c>
      <c r="BK102" s="39">
        <f t="shared" si="111"/>
        <v>9507</v>
      </c>
      <c r="BL102" s="568">
        <f>'FY 2013 by Agency'!AS102*Inflator!$E$13</f>
        <v>5601.8045365517246</v>
      </c>
      <c r="BM102" s="256">
        <f t="shared" si="112"/>
        <v>5601.8045365517246</v>
      </c>
      <c r="BN102" s="51" t="e">
        <f t="shared" si="113"/>
        <v>#DIV/0!</v>
      </c>
      <c r="BO102" s="52">
        <f>'FY 2013 by Agency'!AX102*Inflator!$E$13</f>
        <v>0</v>
      </c>
      <c r="BP102" s="52">
        <f t="shared" si="74"/>
        <v>0</v>
      </c>
      <c r="BQ102" s="51" t="e">
        <f t="shared" si="75"/>
        <v>#DIV/0!</v>
      </c>
      <c r="BR102" s="52">
        <f>'FY 2013 by Agency'!BE102*Inflator!$E$14</f>
        <v>0</v>
      </c>
      <c r="BS102" s="52">
        <f t="shared" si="76"/>
        <v>0</v>
      </c>
      <c r="BT102" s="51" t="e">
        <f t="shared" si="77"/>
        <v>#DIV/0!</v>
      </c>
      <c r="BU102" s="52">
        <f>'FY 2013 by Agency'!BL102*Inflator!$E$14</f>
        <v>0</v>
      </c>
      <c r="BV102" s="52">
        <f t="shared" si="114"/>
        <v>-5601.8045365517246</v>
      </c>
      <c r="BW102" s="39">
        <v>0</v>
      </c>
      <c r="BX102" s="39">
        <f>'FY 2013 by Agency'!BW102*Inflator!E15</f>
        <v>5</v>
      </c>
      <c r="BY102" s="534"/>
      <c r="BZ102" s="39">
        <f t="shared" si="72"/>
        <v>0</v>
      </c>
      <c r="CA102" s="51" t="e">
        <f t="shared" si="73"/>
        <v>#DIV/0!</v>
      </c>
      <c r="CC102" s="39"/>
    </row>
    <row r="103" spans="1:82" ht="18" customHeight="1">
      <c r="A103" s="59" t="s">
        <v>113</v>
      </c>
      <c r="B103" s="325" t="s">
        <v>78</v>
      </c>
      <c r="C103" s="325" t="s">
        <v>78</v>
      </c>
      <c r="D103" s="325" t="s">
        <v>78</v>
      </c>
      <c r="E103" s="325" t="s">
        <v>78</v>
      </c>
      <c r="F103" s="325" t="s">
        <v>78</v>
      </c>
      <c r="G103" s="325" t="s">
        <v>78</v>
      </c>
      <c r="H103" s="325" t="s">
        <v>78</v>
      </c>
      <c r="I103" s="325" t="s">
        <v>78</v>
      </c>
      <c r="J103" s="325" t="s">
        <v>78</v>
      </c>
      <c r="K103" s="324" t="s">
        <v>78</v>
      </c>
      <c r="L103" s="10">
        <f>'FY 2013 by Agency'!L103*Inflator!$E$6</f>
        <v>0</v>
      </c>
      <c r="M103" s="325" t="s">
        <v>78</v>
      </c>
      <c r="N103" s="324" t="s">
        <v>78</v>
      </c>
      <c r="O103" s="10">
        <f>'FY 2013 by Agency'!O103*Inflator!$E$7</f>
        <v>0</v>
      </c>
      <c r="P103" s="69">
        <f t="shared" si="105"/>
        <v>0</v>
      </c>
      <c r="Q103" s="60" t="s">
        <v>78</v>
      </c>
      <c r="R103" s="52">
        <f>'FY 2013 by Agency'!R103*Inflator!$E$8</f>
        <v>0</v>
      </c>
      <c r="S103" s="52">
        <f t="shared" si="90"/>
        <v>0</v>
      </c>
      <c r="T103" s="60" t="s">
        <v>78</v>
      </c>
      <c r="U103" s="52">
        <f>'FY 2013 by Agency'!U103*Inflator!$E$9</f>
        <v>0</v>
      </c>
      <c r="V103" s="52">
        <f t="shared" si="106"/>
        <v>0</v>
      </c>
      <c r="W103" s="60" t="s">
        <v>78</v>
      </c>
      <c r="X103" s="52">
        <f>'FY 2013 by Agency'!X103*Inflator!$E$10</f>
        <v>0</v>
      </c>
      <c r="Y103" s="39">
        <f t="shared" si="108"/>
        <v>0</v>
      </c>
      <c r="Z103" s="61" t="s">
        <v>127</v>
      </c>
      <c r="AA103" s="52">
        <f>'FY 2013 by Agency'!AA103*Inflator!$E$11</f>
        <v>0</v>
      </c>
      <c r="AB103" s="39">
        <f t="shared" si="93"/>
        <v>0</v>
      </c>
      <c r="AC103" s="58" t="e">
        <f t="shared" si="94"/>
        <v>#DIV/0!</v>
      </c>
      <c r="AD103" s="52" t="e">
        <f>'FY 2013 by Agency'!AD103*Inflator!#REF!</f>
        <v>#REF!</v>
      </c>
      <c r="AE103" s="52">
        <f>'FY 2013 by Agency'!AE103*Inflator!$B$8</f>
        <v>0</v>
      </c>
      <c r="AF103" s="52">
        <f>'FY 2013 by Agency'!AF103*Inflator!$E$12</f>
        <v>0</v>
      </c>
      <c r="AG103" s="52">
        <f t="shared" si="95"/>
        <v>0</v>
      </c>
      <c r="AH103" s="58" t="e">
        <f t="shared" si="96"/>
        <v>#DIV/0!</v>
      </c>
      <c r="AI103" s="52">
        <f>'FY 2013 by Agency'!AI103*Inflator!$B$8</f>
        <v>0</v>
      </c>
      <c r="AJ103" s="52">
        <f>'FY 2013 by Agency'!AJ103*Inflator!$B$8</f>
        <v>0</v>
      </c>
      <c r="AK103" s="52">
        <f>'FY 2013 by Agency'!AK103</f>
        <v>76</v>
      </c>
      <c r="AL103" s="52">
        <f>'FY 2013 by Agency'!AL103</f>
        <v>320</v>
      </c>
      <c r="AM103" s="52">
        <f>'FY 2013 by Agency'!AM103</f>
        <v>396</v>
      </c>
      <c r="AN103" s="52">
        <f>'FY 2013 by Agency'!AN103</f>
        <v>72</v>
      </c>
      <c r="AO103" s="52">
        <f>'FY 2013 by Agency'!AO103</f>
        <v>72</v>
      </c>
      <c r="AP103" s="52">
        <f>'FY 2013 by Agency'!AP103</f>
        <v>6</v>
      </c>
      <c r="AQ103" s="52">
        <f>'FY 2013 by Agency'!AQ103</f>
        <v>1</v>
      </c>
      <c r="AR103" s="52">
        <f>'FY 2013 by Agency'!AR103</f>
        <v>7</v>
      </c>
      <c r="AS103" s="52">
        <f>'FY 2013 by Agency'!AS103</f>
        <v>55.515050000000002</v>
      </c>
      <c r="AT103" s="52" t="e">
        <f t="shared" si="97"/>
        <v>#REF!</v>
      </c>
      <c r="AU103" s="58" t="e">
        <f t="shared" si="98"/>
        <v>#REF!</v>
      </c>
      <c r="AV103" s="52">
        <f t="shared" si="99"/>
        <v>55.515050000000002</v>
      </c>
      <c r="AW103" s="58" t="e">
        <f t="shared" si="100"/>
        <v>#DIV/0!</v>
      </c>
      <c r="AX103" s="282" t="s">
        <v>297</v>
      </c>
      <c r="AY103" s="280">
        <v>71.594999999999999</v>
      </c>
      <c r="AZ103" s="280">
        <f t="shared" si="101"/>
        <v>-0.40500000000000114</v>
      </c>
      <c r="BA103" s="280">
        <f t="shared" si="102"/>
        <v>55.110050000000001</v>
      </c>
      <c r="BB103" s="280">
        <f t="shared" si="103"/>
        <v>55.110050000000001</v>
      </c>
      <c r="BC103" s="58" t="e">
        <f t="shared" si="104"/>
        <v>#DIV/0!</v>
      </c>
      <c r="BD103" s="291">
        <v>0.47599999999999998</v>
      </c>
      <c r="BE103" s="51">
        <f t="shared" si="109"/>
        <v>6.6485089740903692E-3</v>
      </c>
      <c r="BI103" s="219">
        <v>70</v>
      </c>
      <c r="BJ103" s="280">
        <f t="shared" si="110"/>
        <v>-1.5949999999999989</v>
      </c>
      <c r="BK103" s="39">
        <f t="shared" si="111"/>
        <v>77</v>
      </c>
      <c r="BL103" s="568">
        <f>'FY 2013 by Agency'!AS103*Inflator!$E$13</f>
        <v>57.564888587122383</v>
      </c>
      <c r="BM103" s="256">
        <f t="shared" si="112"/>
        <v>57.564888587122383</v>
      </c>
      <c r="BN103" s="51" t="e">
        <f t="shared" si="113"/>
        <v>#DIV/0!</v>
      </c>
      <c r="BO103" s="52">
        <f>'FY 2013 by Agency'!AX103*Inflator!$E$13</f>
        <v>0</v>
      </c>
      <c r="BP103" s="52">
        <f t="shared" si="74"/>
        <v>0</v>
      </c>
      <c r="BQ103" s="51" t="e">
        <f t="shared" si="75"/>
        <v>#DIV/0!</v>
      </c>
      <c r="BR103" s="52">
        <f>'FY 2013 by Agency'!BE103*Inflator!$E$14</f>
        <v>0</v>
      </c>
      <c r="BS103" s="52">
        <f t="shared" si="76"/>
        <v>0</v>
      </c>
      <c r="BT103" s="51" t="e">
        <f t="shared" si="77"/>
        <v>#DIV/0!</v>
      </c>
      <c r="BU103" s="52">
        <f>'FY 2013 by Agency'!BL103*Inflator!$E$14</f>
        <v>0</v>
      </c>
      <c r="BV103" s="52">
        <f t="shared" si="114"/>
        <v>-57.564888587122383</v>
      </c>
      <c r="BW103" s="39">
        <v>0</v>
      </c>
      <c r="BX103" s="39">
        <f>'FY 2013 by Agency'!BW103*Inflator!E15</f>
        <v>9</v>
      </c>
      <c r="BY103" s="534"/>
      <c r="BZ103" s="39">
        <f t="shared" si="72"/>
        <v>0</v>
      </c>
      <c r="CA103" s="51" t="e">
        <f t="shared" si="73"/>
        <v>#DIV/0!</v>
      </c>
      <c r="CC103" s="39"/>
    </row>
    <row r="104" spans="1:82" s="63" customFormat="1" ht="18" customHeight="1">
      <c r="A104" s="53" t="s">
        <v>121</v>
      </c>
      <c r="B104" s="325" t="s">
        <v>78</v>
      </c>
      <c r="C104" s="325" t="s">
        <v>78</v>
      </c>
      <c r="D104" s="325" t="s">
        <v>78</v>
      </c>
      <c r="E104" s="325" t="s">
        <v>78</v>
      </c>
      <c r="F104" s="325" t="s">
        <v>78</v>
      </c>
      <c r="G104" s="325" t="s">
        <v>78</v>
      </c>
      <c r="H104" s="325" t="s">
        <v>78</v>
      </c>
      <c r="I104" s="325" t="s">
        <v>78</v>
      </c>
      <c r="J104" s="325" t="s">
        <v>78</v>
      </c>
      <c r="K104" s="324" t="s">
        <v>78</v>
      </c>
      <c r="L104" s="10">
        <f>'FY 2013 by Agency'!L104*Inflator!$E$6</f>
        <v>0</v>
      </c>
      <c r="M104" s="325" t="s">
        <v>78</v>
      </c>
      <c r="N104" s="324" t="s">
        <v>78</v>
      </c>
      <c r="O104" s="10">
        <f>'FY 2013 by Agency'!O104*Inflator!$E$7</f>
        <v>28994.831397395279</v>
      </c>
      <c r="P104" s="69">
        <f t="shared" si="105"/>
        <v>28994.831397395279</v>
      </c>
      <c r="Q104" s="70" t="s">
        <v>78</v>
      </c>
      <c r="R104" s="52">
        <f>'FY 2013 by Agency'!R104*Inflator!$E$8</f>
        <v>32926.919891378137</v>
      </c>
      <c r="S104" s="69">
        <f t="shared" si="90"/>
        <v>3932.0884939828575</v>
      </c>
      <c r="T104" s="72">
        <f>S104/O104</f>
        <v>0.13561342847939764</v>
      </c>
      <c r="U104" s="52">
        <f>'FY 2013 by Agency'!U104*Inflator!$E$9</f>
        <v>36124.029840848802</v>
      </c>
      <c r="V104" s="69">
        <f t="shared" si="106"/>
        <v>3197.109949470665</v>
      </c>
      <c r="W104" s="72">
        <f t="shared" si="107"/>
        <v>9.709714604395242E-2</v>
      </c>
      <c r="X104" s="52">
        <f>'FY 2013 by Agency'!X104*Inflator!$E$10</f>
        <v>43786.612892981902</v>
      </c>
      <c r="Y104" s="39">
        <f t="shared" si="108"/>
        <v>7662.5830521331009</v>
      </c>
      <c r="Z104" s="72">
        <f>Y104/U104</f>
        <v>0.21211872224367131</v>
      </c>
      <c r="AA104" s="52">
        <f>'FY 2013 by Agency'!AA104*Inflator!$E$11</f>
        <v>51012.217903791025</v>
      </c>
      <c r="AB104" s="39">
        <f t="shared" si="93"/>
        <v>7225.6050108091222</v>
      </c>
      <c r="AC104" s="58">
        <f t="shared" si="94"/>
        <v>0.16501858749543147</v>
      </c>
      <c r="AD104" s="52" t="e">
        <f>'FY 2013 by Agency'!AD104*Inflator!#REF!</f>
        <v>#REF!</v>
      </c>
      <c r="AE104" s="52">
        <f>'FY 2013 by Agency'!AE104*Inflator!$B$8</f>
        <v>0</v>
      </c>
      <c r="AF104" s="52">
        <f>'FY 2013 by Agency'!AF104*Inflator!$E$12</f>
        <v>40349.120927318298</v>
      </c>
      <c r="AG104" s="52">
        <f t="shared" si="95"/>
        <v>-10663.096976472727</v>
      </c>
      <c r="AH104" s="58">
        <f t="shared" si="96"/>
        <v>-0.20903025617477197</v>
      </c>
      <c r="AI104" s="52">
        <f>'FY 2013 by Agency'!AI104*Inflator!$B$8</f>
        <v>0</v>
      </c>
      <c r="AJ104" s="52">
        <f>'FY 2013 by Agency'!AJ104*Inflator!$B$8</f>
        <v>0</v>
      </c>
      <c r="AK104" s="52">
        <f>'FY 2013 by Agency'!AK104</f>
        <v>33477</v>
      </c>
      <c r="AL104" s="52">
        <f>'FY 2013 by Agency'!AL104</f>
        <v>0</v>
      </c>
      <c r="AM104" s="52">
        <f>'FY 2013 by Agency'!AM104</f>
        <v>33477</v>
      </c>
      <c r="AN104" s="52">
        <f>'FY 2013 by Agency'!AN104</f>
        <v>24758</v>
      </c>
      <c r="AO104" s="52">
        <f>'FY 2013 by Agency'!AO104</f>
        <v>51331</v>
      </c>
      <c r="AP104" s="52">
        <f>'FY 2013 by Agency'!AP104</f>
        <v>5427</v>
      </c>
      <c r="AQ104" s="52">
        <f>'FY 2013 by Agency'!AQ104</f>
        <v>293</v>
      </c>
      <c r="AR104" s="52">
        <f>'FY 2013 by Agency'!AR104</f>
        <v>5720</v>
      </c>
      <c r="AS104" s="52">
        <f>'FY 2013 by Agency'!AS104</f>
        <v>46191.857759999999</v>
      </c>
      <c r="AT104" s="52" t="e">
        <f t="shared" si="97"/>
        <v>#REF!</v>
      </c>
      <c r="AU104" s="58" t="e">
        <f t="shared" si="98"/>
        <v>#REF!</v>
      </c>
      <c r="AV104" s="52">
        <f t="shared" si="99"/>
        <v>5842.7368326817013</v>
      </c>
      <c r="AW104" s="58">
        <f t="shared" si="100"/>
        <v>0.14480456323215427</v>
      </c>
      <c r="AX104" s="282" t="s">
        <v>294</v>
      </c>
      <c r="AY104" s="280">
        <v>50894.818370000001</v>
      </c>
      <c r="AZ104" s="280">
        <f t="shared" si="101"/>
        <v>-436.18162999999913</v>
      </c>
      <c r="BA104" s="280">
        <f t="shared" si="102"/>
        <v>5406.5552026817022</v>
      </c>
      <c r="BB104" s="280">
        <f t="shared" si="103"/>
        <v>45755.67613</v>
      </c>
      <c r="BC104" s="58">
        <f t="shared" si="104"/>
        <v>0.13399437406382764</v>
      </c>
      <c r="BD104" s="291">
        <v>21.532</v>
      </c>
      <c r="BE104" s="51">
        <f t="shared" si="109"/>
        <v>4.2306860874253671E-4</v>
      </c>
      <c r="BI104" s="80">
        <v>45558</v>
      </c>
      <c r="BJ104" s="280">
        <f t="shared" si="110"/>
        <v>-5336.8183700000009</v>
      </c>
      <c r="BK104" s="39">
        <f t="shared" si="111"/>
        <v>51278</v>
      </c>
      <c r="BL104" s="568">
        <f>'FY 2013 by Agency'!AS104*Inflator!$E$13</f>
        <v>47897.446648910598</v>
      </c>
      <c r="BM104" s="256">
        <f t="shared" si="112"/>
        <v>7548.3257215923004</v>
      </c>
      <c r="BN104" s="51">
        <f t="shared" si="113"/>
        <v>0.18707534509089441</v>
      </c>
      <c r="BO104" s="52">
        <f>'FY 2013 by Agency'!AX104*Inflator!$E$13</f>
        <v>47240.18431492219</v>
      </c>
      <c r="BP104" s="52">
        <f t="shared" si="74"/>
        <v>6891.0633876038919</v>
      </c>
      <c r="BQ104" s="51">
        <f t="shared" si="75"/>
        <v>0.17078596086434958</v>
      </c>
      <c r="BR104" s="52">
        <f>'FY 2013 by Agency'!BE104*Inflator!$E$14</f>
        <v>39128.238877276803</v>
      </c>
      <c r="BS104" s="52">
        <f t="shared" si="76"/>
        <v>-8111.9454376453868</v>
      </c>
      <c r="BT104" s="51">
        <f t="shared" si="77"/>
        <v>-0.1717170573164549</v>
      </c>
      <c r="BU104" s="69">
        <f>'FY 2013 by Agency'!BL104*Inflator!$E$14</f>
        <v>44961.353836966264</v>
      </c>
      <c r="BV104" s="52">
        <f t="shared" si="114"/>
        <v>-2936.0928119443342</v>
      </c>
      <c r="BW104" s="487">
        <v>43746</v>
      </c>
      <c r="BX104" s="39">
        <f>'FY 2013 by Agency'!BW104*Inflator!E15</f>
        <v>49450</v>
      </c>
      <c r="BY104" s="595">
        <v>43540</v>
      </c>
      <c r="BZ104" s="39">
        <f t="shared" si="72"/>
        <v>4617.7611227231973</v>
      </c>
      <c r="CA104" s="51">
        <f t="shared" si="73"/>
        <v>0.11801607369057696</v>
      </c>
      <c r="CC104" s="39"/>
    </row>
    <row r="105" spans="1:82" ht="18" customHeight="1" thickBot="1">
      <c r="A105" s="63" t="s">
        <v>147</v>
      </c>
      <c r="B105" s="325" t="s">
        <v>78</v>
      </c>
      <c r="C105" s="325" t="s">
        <v>78</v>
      </c>
      <c r="D105" s="325" t="s">
        <v>78</v>
      </c>
      <c r="E105" s="325" t="s">
        <v>78</v>
      </c>
      <c r="F105" s="325" t="s">
        <v>78</v>
      </c>
      <c r="G105" s="325" t="s">
        <v>78</v>
      </c>
      <c r="H105" s="325" t="s">
        <v>78</v>
      </c>
      <c r="I105" s="325" t="s">
        <v>78</v>
      </c>
      <c r="J105" s="325" t="s">
        <v>78</v>
      </c>
      <c r="K105" s="324" t="s">
        <v>78</v>
      </c>
      <c r="L105" s="324" t="s">
        <v>78</v>
      </c>
      <c r="M105" s="325" t="s">
        <v>78</v>
      </c>
      <c r="N105" s="324" t="s">
        <v>78</v>
      </c>
      <c r="O105" s="10"/>
      <c r="P105" s="69"/>
      <c r="Q105" s="70"/>
      <c r="R105" s="52"/>
      <c r="S105" s="69"/>
      <c r="T105" s="72"/>
      <c r="U105" s="52"/>
      <c r="V105" s="69"/>
      <c r="W105" s="72"/>
      <c r="X105" s="52">
        <f>'FY 2013 by Agency'!X105*Inflator!$E$10</f>
        <v>0</v>
      </c>
      <c r="Y105" s="39">
        <f t="shared" si="108"/>
        <v>0</v>
      </c>
      <c r="Z105" s="72"/>
      <c r="AA105" s="52">
        <f>'FY 2013 by Agency'!AA105*Inflator!$E$11</f>
        <v>0</v>
      </c>
      <c r="AB105" s="39">
        <f t="shared" si="93"/>
        <v>0</v>
      </c>
      <c r="AC105" s="58"/>
      <c r="AD105" s="52" t="e">
        <f>'FY 2013 by Agency'!AD105*Inflator!#REF!</f>
        <v>#REF!</v>
      </c>
      <c r="AE105" s="52">
        <f>'FY 2013 by Agency'!AE105*Inflator!$B$8</f>
        <v>0</v>
      </c>
      <c r="AF105" s="52">
        <f>'FY 2013 by Agency'!AF105*Inflator!$E$12</f>
        <v>0</v>
      </c>
      <c r="AG105" s="52">
        <f t="shared" si="95"/>
        <v>0</v>
      </c>
      <c r="AH105" s="58" t="e">
        <f t="shared" si="96"/>
        <v>#DIV/0!</v>
      </c>
      <c r="AI105" s="52">
        <f>'FY 2013 by Agency'!AI105*Inflator!$B$8</f>
        <v>0</v>
      </c>
      <c r="AJ105" s="52">
        <f>'FY 2013 by Agency'!AJ105*Inflator!$B$8</f>
        <v>0</v>
      </c>
      <c r="AK105" s="52">
        <f>'FY 2013 by Agency'!AK105</f>
        <v>0</v>
      </c>
      <c r="AL105" s="52">
        <f>'FY 2013 by Agency'!AL105</f>
        <v>225</v>
      </c>
      <c r="AM105" s="52">
        <f>'FY 2013 by Agency'!AM105</f>
        <v>225</v>
      </c>
      <c r="AN105" s="52">
        <f>'FY 2013 by Agency'!AN105</f>
        <v>0</v>
      </c>
      <c r="AO105" s="52">
        <f>'FY 2013 by Agency'!AO105</f>
        <v>0</v>
      </c>
      <c r="AP105" s="52">
        <f>'FY 2013 by Agency'!AP105</f>
        <v>0</v>
      </c>
      <c r="AQ105" s="52">
        <f>'FY 2013 by Agency'!AQ105</f>
        <v>0</v>
      </c>
      <c r="AR105" s="52">
        <f>'FY 2013 by Agency'!AR105</f>
        <v>0</v>
      </c>
      <c r="AS105" s="52">
        <f>'FY 2013 by Agency'!AS105</f>
        <v>0</v>
      </c>
      <c r="AT105" s="52" t="e">
        <f t="shared" si="97"/>
        <v>#REF!</v>
      </c>
      <c r="AU105" s="58" t="e">
        <f t="shared" si="98"/>
        <v>#REF!</v>
      </c>
      <c r="AV105" s="52">
        <f t="shared" si="99"/>
        <v>0</v>
      </c>
      <c r="AW105" s="58" t="e">
        <f t="shared" si="100"/>
        <v>#DIV/0!</v>
      </c>
      <c r="AX105" s="282" t="s">
        <v>298</v>
      </c>
      <c r="AY105" s="283">
        <v>250</v>
      </c>
      <c r="AZ105" s="280">
        <f t="shared" si="101"/>
        <v>250</v>
      </c>
      <c r="BA105" s="280">
        <f t="shared" si="102"/>
        <v>250</v>
      </c>
      <c r="BB105" s="280">
        <f t="shared" si="103"/>
        <v>250</v>
      </c>
      <c r="BC105" s="58" t="e">
        <f t="shared" si="104"/>
        <v>#DIV/0!</v>
      </c>
      <c r="BD105" s="289"/>
      <c r="BI105" s="246">
        <v>250</v>
      </c>
      <c r="BJ105" s="280">
        <f t="shared" si="110"/>
        <v>0</v>
      </c>
      <c r="BK105" s="39">
        <f t="shared" si="111"/>
        <v>250</v>
      </c>
      <c r="BL105" s="568">
        <f>'FY 2013 by Agency'!AS105*Inflator!$E$13</f>
        <v>0</v>
      </c>
      <c r="BM105" s="256">
        <f t="shared" si="112"/>
        <v>0</v>
      </c>
      <c r="BN105" s="51" t="e">
        <f t="shared" si="113"/>
        <v>#DIV/0!</v>
      </c>
      <c r="BO105" s="52">
        <f>'FY 2013 by Agency'!AX105*Inflator!$E$13</f>
        <v>0</v>
      </c>
      <c r="BP105" s="52">
        <f t="shared" si="74"/>
        <v>0</v>
      </c>
      <c r="BQ105" s="51" t="e">
        <f t="shared" si="75"/>
        <v>#DIV/0!</v>
      </c>
      <c r="BR105" s="52">
        <f>'FY 2013 by Agency'!BE105*Inflator!$E$14</f>
        <v>0</v>
      </c>
      <c r="BS105" s="52">
        <f t="shared" si="76"/>
        <v>0</v>
      </c>
      <c r="BT105" s="51" t="e">
        <f t="shared" si="77"/>
        <v>#DIV/0!</v>
      </c>
      <c r="BU105" s="52">
        <f>'FY 2013 by Agency'!BL105*Inflator!$E$14</f>
        <v>0</v>
      </c>
      <c r="BV105" s="52">
        <f t="shared" si="114"/>
        <v>0</v>
      </c>
      <c r="BW105" s="39"/>
      <c r="BX105" s="39">
        <f>'FY 2013 by Agency'!BW105*Inflator!E15</f>
        <v>0</v>
      </c>
      <c r="BY105" s="534"/>
      <c r="BZ105" s="39">
        <f t="shared" si="72"/>
        <v>0</v>
      </c>
      <c r="CA105" s="51" t="e">
        <f t="shared" si="73"/>
        <v>#DIV/0!</v>
      </c>
      <c r="CC105" s="39"/>
    </row>
    <row r="106" spans="1:82" ht="18" customHeight="1" thickBot="1">
      <c r="A106" s="245" t="s">
        <v>361</v>
      </c>
      <c r="B106" s="325" t="s">
        <v>78</v>
      </c>
      <c r="C106" s="325" t="s">
        <v>78</v>
      </c>
      <c r="D106" s="325" t="s">
        <v>78</v>
      </c>
      <c r="E106" s="325" t="s">
        <v>78</v>
      </c>
      <c r="F106" s="325" t="s">
        <v>78</v>
      </c>
      <c r="G106" s="325" t="s">
        <v>78</v>
      </c>
      <c r="H106" s="325" t="s">
        <v>78</v>
      </c>
      <c r="I106" s="325" t="s">
        <v>78</v>
      </c>
      <c r="J106" s="325" t="s">
        <v>78</v>
      </c>
      <c r="K106" s="324" t="s">
        <v>78</v>
      </c>
      <c r="L106" s="324" t="s">
        <v>78</v>
      </c>
      <c r="M106" s="325" t="s">
        <v>78</v>
      </c>
      <c r="N106" s="324" t="s">
        <v>78</v>
      </c>
      <c r="O106" s="10"/>
      <c r="P106" s="69"/>
      <c r="Q106" s="70"/>
      <c r="R106" s="52"/>
      <c r="S106" s="69"/>
      <c r="T106" s="72"/>
      <c r="U106" s="52"/>
      <c r="V106" s="69"/>
      <c r="W106" s="72"/>
      <c r="X106" s="52">
        <f>'FY 2013 by Agency'!X106*Inflator!$E$10</f>
        <v>10129.255636710068</v>
      </c>
      <c r="Y106" s="39"/>
      <c r="Z106" s="72"/>
      <c r="AA106" s="52">
        <f>'FY 2013 by Agency'!AA106*Inflator!$E$11</f>
        <v>16851.438674737179</v>
      </c>
      <c r="AB106" s="39"/>
      <c r="AC106" s="58"/>
      <c r="AD106" s="52" t="e">
        <f>'FY 2013 by Agency'!AD106*Inflator!#REF!</f>
        <v>#REF!</v>
      </c>
      <c r="AE106" s="52"/>
      <c r="AF106" s="52">
        <f>'FY 2013 by Agency'!AF106*Inflator!$E$12</f>
        <v>5388.6829573934847</v>
      </c>
      <c r="AG106" s="52"/>
      <c r="AH106" s="58"/>
      <c r="AI106" s="52"/>
      <c r="AJ106" s="52"/>
      <c r="AK106" s="52"/>
      <c r="AL106" s="52"/>
      <c r="AM106" s="52"/>
      <c r="AO106" s="52"/>
      <c r="AU106" s="58"/>
      <c r="AV106" s="52"/>
      <c r="AW106" s="58"/>
      <c r="AX106" s="311"/>
      <c r="AY106" s="283"/>
      <c r="AZ106" s="280"/>
      <c r="BA106" s="280"/>
      <c r="BB106" s="280"/>
      <c r="BC106" s="58"/>
      <c r="BD106" s="289"/>
      <c r="BI106" s="246">
        <v>375</v>
      </c>
      <c r="BJ106" s="280">
        <f t="shared" si="110"/>
        <v>375</v>
      </c>
      <c r="BK106" s="39">
        <f t="shared" si="111"/>
        <v>375</v>
      </c>
      <c r="BL106" s="568">
        <f>'FY 2013 by Agency'!AS106*Inflator!$E$13</f>
        <v>306.98960881293868</v>
      </c>
      <c r="BM106" s="256">
        <f t="shared" si="112"/>
        <v>-5081.6933485805457</v>
      </c>
      <c r="BN106" s="51">
        <f t="shared" si="113"/>
        <v>-0.94303067906570059</v>
      </c>
      <c r="BO106" s="52">
        <f>'FY 2013 by Agency'!AX106*Inflator!$E$13</f>
        <v>10713.498931949956</v>
      </c>
      <c r="BP106" s="52">
        <f t="shared" si="74"/>
        <v>5324.8159745564717</v>
      </c>
      <c r="BQ106" s="51">
        <f t="shared" si="75"/>
        <v>0.98814794202182832</v>
      </c>
      <c r="BR106" s="52">
        <f>'FY 2013 by Agency'!BE106*Inflator!$E$14</f>
        <v>12220.218572708272</v>
      </c>
      <c r="BS106" s="52">
        <f t="shared" si="76"/>
        <v>1506.719640758316</v>
      </c>
      <c r="BT106" s="51">
        <f t="shared" si="77"/>
        <v>0.14063749390639824</v>
      </c>
      <c r="BU106" s="52">
        <f>'FY 2013 by Agency'!BL106*Inflator!$E$14</f>
        <v>12241.525828605554</v>
      </c>
      <c r="BV106" s="52">
        <f t="shared" si="114"/>
        <v>11934.536219792615</v>
      </c>
      <c r="BW106" s="534">
        <f>11195-2951</f>
        <v>8244</v>
      </c>
      <c r="BX106" s="39">
        <f>'FY 2013 by Agency'!BW106*Inflator!E15</f>
        <v>8244</v>
      </c>
      <c r="BY106" s="534">
        <v>1954</v>
      </c>
      <c r="BZ106" s="39">
        <f t="shared" si="72"/>
        <v>-3976.2185727082724</v>
      </c>
      <c r="CA106" s="51">
        <f t="shared" si="73"/>
        <v>-0.32538031533973238</v>
      </c>
      <c r="CC106" s="39"/>
    </row>
    <row r="107" spans="1:82" ht="18" customHeight="1" thickBot="1">
      <c r="A107" s="245" t="s">
        <v>471</v>
      </c>
      <c r="B107" s="325"/>
      <c r="C107" s="325"/>
      <c r="D107" s="325"/>
      <c r="E107" s="325"/>
      <c r="F107" s="325"/>
      <c r="G107" s="325"/>
      <c r="H107" s="325"/>
      <c r="I107" s="325"/>
      <c r="J107" s="325"/>
      <c r="K107" s="324"/>
      <c r="L107" s="324"/>
      <c r="M107" s="325"/>
      <c r="N107" s="324"/>
      <c r="O107" s="10"/>
      <c r="P107" s="69"/>
      <c r="Q107" s="70"/>
      <c r="R107" s="52"/>
      <c r="S107" s="69"/>
      <c r="T107" s="72"/>
      <c r="U107" s="52"/>
      <c r="V107" s="69"/>
      <c r="W107" s="72"/>
      <c r="X107" s="52"/>
      <c r="Y107" s="39"/>
      <c r="Z107" s="72"/>
      <c r="AA107" s="52"/>
      <c r="AB107" s="39"/>
      <c r="AC107" s="58"/>
      <c r="AD107" s="52"/>
      <c r="AE107" s="52"/>
      <c r="AF107" s="52"/>
      <c r="AG107" s="52"/>
      <c r="AH107" s="58"/>
      <c r="AI107" s="52"/>
      <c r="AJ107" s="52"/>
      <c r="AK107" s="52"/>
      <c r="AL107" s="52"/>
      <c r="AM107" s="52"/>
      <c r="AO107" s="52"/>
      <c r="AU107" s="58"/>
      <c r="AV107" s="52"/>
      <c r="AW107" s="58"/>
      <c r="AX107" s="311"/>
      <c r="AY107" s="283"/>
      <c r="AZ107" s="280"/>
      <c r="BA107" s="280"/>
      <c r="BB107" s="280"/>
      <c r="BC107" s="58"/>
      <c r="BD107" s="289"/>
      <c r="BI107" s="246"/>
      <c r="BJ107" s="280"/>
      <c r="BK107" s="39"/>
      <c r="BL107" s="568"/>
      <c r="BM107" s="256"/>
      <c r="BN107" s="51"/>
      <c r="BO107" s="52"/>
      <c r="BP107" s="52"/>
      <c r="BQ107" s="51"/>
      <c r="BR107" s="52"/>
      <c r="BS107" s="52"/>
      <c r="BT107" s="51"/>
      <c r="BW107" s="534">
        <v>8294</v>
      </c>
      <c r="BX107" s="39"/>
      <c r="BY107" s="534">
        <v>8505</v>
      </c>
      <c r="BZ107" s="39">
        <f t="shared" si="72"/>
        <v>8294</v>
      </c>
      <c r="CA107" s="51" t="e">
        <f t="shared" si="73"/>
        <v>#DIV/0!</v>
      </c>
      <c r="CC107" s="39"/>
    </row>
    <row r="108" spans="1:82" s="54" customFormat="1" ht="16.5" customHeight="1" thickBot="1">
      <c r="A108" s="130" t="s">
        <v>186</v>
      </c>
      <c r="B108" s="329" t="s">
        <v>78</v>
      </c>
      <c r="C108" s="329" t="s">
        <v>78</v>
      </c>
      <c r="D108" s="329" t="s">
        <v>78</v>
      </c>
      <c r="E108" s="329" t="s">
        <v>78</v>
      </c>
      <c r="F108" s="329" t="s">
        <v>78</v>
      </c>
      <c r="G108" s="329" t="s">
        <v>78</v>
      </c>
      <c r="H108" s="329" t="s">
        <v>78</v>
      </c>
      <c r="I108" s="329" t="s">
        <v>78</v>
      </c>
      <c r="J108" s="329" t="s">
        <v>78</v>
      </c>
      <c r="K108" s="329" t="s">
        <v>78</v>
      </c>
      <c r="L108" s="329" t="s">
        <v>78</v>
      </c>
      <c r="M108" s="329" t="s">
        <v>78</v>
      </c>
      <c r="N108" s="329" t="s">
        <v>78</v>
      </c>
      <c r="O108" s="350"/>
      <c r="P108" s="75"/>
      <c r="Q108" s="76"/>
      <c r="R108" s="75"/>
      <c r="S108" s="75"/>
      <c r="T108" s="77"/>
      <c r="U108" s="75"/>
      <c r="V108" s="75"/>
      <c r="W108" s="77"/>
      <c r="X108" s="75">
        <f>'FY 2013 by Agency'!X108*Inflator!$E$10</f>
        <v>4071.341378215307</v>
      </c>
      <c r="Y108" s="102">
        <f t="shared" si="108"/>
        <v>4071.341378215307</v>
      </c>
      <c r="Z108" s="77"/>
      <c r="AA108" s="75">
        <f>'FY 2013 by Agency'!AA108*Inflator!$E$11</f>
        <v>0</v>
      </c>
      <c r="AB108" s="102">
        <f t="shared" si="93"/>
        <v>-4071.341378215307</v>
      </c>
      <c r="AC108" s="77">
        <f>AB108/X108</f>
        <v>-1</v>
      </c>
      <c r="AD108" s="75" t="e">
        <f>'FY 2013 by Agency'!AD108*Inflator!#REF!</f>
        <v>#REF!</v>
      </c>
      <c r="AE108" s="75">
        <f>'FY 2013 by Agency'!AE108*Inflator!$B$8</f>
        <v>0</v>
      </c>
      <c r="AF108" s="75">
        <f>'FY 2013 by Agency'!AF108*Inflator!$E$12</f>
        <v>0</v>
      </c>
      <c r="AG108" s="75">
        <f t="shared" si="95"/>
        <v>0</v>
      </c>
      <c r="AH108" s="77" t="e">
        <f t="shared" si="96"/>
        <v>#DIV/0!</v>
      </c>
      <c r="AI108" s="75">
        <f>'FY 2013 by Agency'!AI108*Inflator!$B$8</f>
        <v>0</v>
      </c>
      <c r="AJ108" s="75">
        <f>'FY 2013 by Agency'!AJ108*Inflator!$B$8</f>
        <v>0</v>
      </c>
      <c r="AK108" s="75">
        <f>'FY 2013 by Agency'!AK108</f>
        <v>0</v>
      </c>
      <c r="AL108" s="75">
        <f>'FY 2013 by Agency'!AL108</f>
        <v>0</v>
      </c>
      <c r="AM108" s="75">
        <f>'FY 2013 by Agency'!AM108</f>
        <v>0</v>
      </c>
      <c r="AN108" s="75">
        <f>'FY 2013 by Agency'!AN108</f>
        <v>0</v>
      </c>
      <c r="AO108" s="75">
        <f>'FY 2013 by Agency'!AO108</f>
        <v>0</v>
      </c>
      <c r="AP108" s="75">
        <f>'FY 2013 by Agency'!AP108</f>
        <v>0</v>
      </c>
      <c r="AQ108" s="75">
        <f>'FY 2013 by Agency'!AQ108</f>
        <v>0</v>
      </c>
      <c r="AR108" s="75">
        <f>'FY 2013 by Agency'!AR108</f>
        <v>0</v>
      </c>
      <c r="AS108" s="75">
        <f>'FY 2013 by Agency'!AS108</f>
        <v>20444.884999999998</v>
      </c>
      <c r="AT108" s="75" t="e">
        <f t="shared" si="97"/>
        <v>#REF!</v>
      </c>
      <c r="AU108" s="77" t="e">
        <f t="shared" si="98"/>
        <v>#REF!</v>
      </c>
      <c r="AV108" s="75">
        <f t="shared" si="99"/>
        <v>20444.884999999998</v>
      </c>
      <c r="AW108" s="77" t="e">
        <f t="shared" si="100"/>
        <v>#DIV/0!</v>
      </c>
      <c r="AZ108" s="77"/>
      <c r="BA108" s="77"/>
      <c r="BB108" s="77"/>
      <c r="BC108" s="77"/>
      <c r="BD108" s="294"/>
      <c r="BE108" s="283"/>
      <c r="BI108" s="94"/>
      <c r="BJ108" s="283">
        <f t="shared" si="110"/>
        <v>0</v>
      </c>
      <c r="BK108" s="102">
        <f t="shared" si="111"/>
        <v>0</v>
      </c>
      <c r="BL108" s="570">
        <f>'FY 2013 by Agency'!AS108*Inflator!$E$13</f>
        <v>21199.792258162957</v>
      </c>
      <c r="BM108" s="256">
        <f t="shared" si="112"/>
        <v>21199.792258162957</v>
      </c>
      <c r="BN108" s="55" t="e">
        <f t="shared" si="113"/>
        <v>#DIV/0!</v>
      </c>
      <c r="BO108" s="75">
        <f>'FY 2013 by Agency'!AX108*Inflator!$E$13</f>
        <v>0</v>
      </c>
      <c r="BP108" s="75">
        <f t="shared" si="74"/>
        <v>0</v>
      </c>
      <c r="BQ108" s="55" t="e">
        <f t="shared" si="75"/>
        <v>#DIV/0!</v>
      </c>
      <c r="BR108" s="75">
        <f>'FY 2013 by Agency'!BE108*Inflator!$E$14</f>
        <v>0</v>
      </c>
      <c r="BS108" s="75">
        <f t="shared" si="76"/>
        <v>0</v>
      </c>
      <c r="BT108" s="55" t="e">
        <f t="shared" si="77"/>
        <v>#DIV/0!</v>
      </c>
      <c r="BU108" s="75">
        <f>'FY 2013 by Agency'!BL108*Inflator!$E$14</f>
        <v>0</v>
      </c>
      <c r="BV108" s="52">
        <f t="shared" si="114"/>
        <v>-21199.792258162957</v>
      </c>
      <c r="BW108" s="102"/>
      <c r="BX108" s="39">
        <f>'FY 2013 by Agency'!BW108*Inflator!E$15</f>
        <v>0</v>
      </c>
      <c r="BZ108" s="39">
        <f t="shared" si="72"/>
        <v>0</v>
      </c>
      <c r="CA108" s="51" t="e">
        <f t="shared" si="73"/>
        <v>#DIV/0!</v>
      </c>
      <c r="CC108" s="39"/>
    </row>
    <row r="109" spans="1:82" s="13" customFormat="1" ht="18" customHeight="1" thickBot="1">
      <c r="A109" s="64" t="s">
        <v>58</v>
      </c>
      <c r="B109" s="322">
        <f>'FY 2013 by Agency'!B109*Inflator!$E$2</f>
        <v>957546.37400318985</v>
      </c>
      <c r="C109" s="322">
        <f>'FY 2013 by Agency'!C109*Inflator!$E$3</f>
        <v>941919.56027820718</v>
      </c>
      <c r="D109" s="47">
        <f t="shared" si="78"/>
        <v>-15626.813724982669</v>
      </c>
      <c r="E109" s="356">
        <f t="shared" si="79"/>
        <v>-1.631964168967822E-2</v>
      </c>
      <c r="F109" s="10">
        <f>'FY 2013 by Agency'!F109*Inflator!$E$4</f>
        <v>822867.02702702698</v>
      </c>
      <c r="G109" s="12">
        <f t="shared" si="80"/>
        <v>-119052.5332511802</v>
      </c>
      <c r="H109" s="15">
        <f t="shared" si="81"/>
        <v>-0.12639352474644078</v>
      </c>
      <c r="I109" s="10">
        <f>'FY 2013 by Agency'!I109*Inflator!$E$5</f>
        <v>833361.71141688374</v>
      </c>
      <c r="J109" s="12">
        <f t="shared" si="82"/>
        <v>10494.68438985676</v>
      </c>
      <c r="K109" s="15">
        <f t="shared" si="83"/>
        <v>1.2753803524943118E-2</v>
      </c>
      <c r="L109" s="10">
        <f>'FY 2013 by Agency'!L109*Inflator!$E$6</f>
        <v>921528.70665212639</v>
      </c>
      <c r="M109" s="12">
        <f t="shared" si="84"/>
        <v>88166.995235242648</v>
      </c>
      <c r="N109" s="15">
        <f t="shared" si="85"/>
        <v>0.10579679151006458</v>
      </c>
      <c r="O109" s="10">
        <f>'FY 2013 by Agency'!O109*Inflator!$E$7</f>
        <v>963385.02851108753</v>
      </c>
      <c r="P109" s="12">
        <f>O109-L109</f>
        <v>41856.321858961135</v>
      </c>
      <c r="Q109" s="36">
        <f>P109/L109</f>
        <v>4.5420529557916138E-2</v>
      </c>
      <c r="R109" s="52">
        <f>'FY 2013 by Agency'!R109*Inflator!$E$8</f>
        <v>1032027.7338764425</v>
      </c>
      <c r="S109" s="12">
        <f t="shared" si="90"/>
        <v>68642.70536535501</v>
      </c>
      <c r="T109" s="36">
        <f>S109/O109</f>
        <v>7.1251579933147166E-2</v>
      </c>
      <c r="U109" s="52">
        <f>'FY 2013 by Agency'!U109*Inflator!$E$9</f>
        <v>1083202.6326259947</v>
      </c>
      <c r="V109" s="12">
        <f>SUM(V85:V108)</f>
        <v>51174.898749552071</v>
      </c>
      <c r="W109" s="45">
        <f t="shared" ref="W109" si="115">V109/R109</f>
        <v>4.9586747593818911E-2</v>
      </c>
      <c r="X109" s="52">
        <f>'FY 2013 by Agency'!X109*Inflator!$E$10</f>
        <v>1127049.3737694507</v>
      </c>
      <c r="Y109" s="12">
        <f>SUM(Y85:Y108)</f>
        <v>33717.485506745994</v>
      </c>
      <c r="Z109" s="45">
        <f>Y109/U109</f>
        <v>3.1127588219579113E-2</v>
      </c>
      <c r="AA109" s="52">
        <f>'FY 2013 by Agency'!AA109*Inflator!$E$11</f>
        <v>1096828.7180630777</v>
      </c>
      <c r="AB109" s="30">
        <f t="shared" si="93"/>
        <v>-30220.655706373043</v>
      </c>
      <c r="AC109" s="36">
        <f>AB109/X109</f>
        <v>-2.6813959006338071E-2</v>
      </c>
      <c r="AD109" s="12" t="e">
        <f>'FY 2013 by Agency'!AD109*Inflator!#REF!</f>
        <v>#REF!</v>
      </c>
      <c r="AE109" s="178">
        <f>SUM(AE85:AE108)</f>
        <v>0</v>
      </c>
      <c r="AF109" s="52">
        <f>'FY 2013 by Agency'!AF109*Inflator!$E$12</f>
        <v>1071048.1096491229</v>
      </c>
      <c r="AG109" s="12">
        <f t="shared" si="95"/>
        <v>-25780.608413954731</v>
      </c>
      <c r="AH109" s="36">
        <f t="shared" si="96"/>
        <v>-2.3504680347430609E-2</v>
      </c>
      <c r="AI109" s="178">
        <f t="shared" ref="AI109:AR109" si="116">SUM(AI85:AI108)</f>
        <v>0</v>
      </c>
      <c r="AJ109" s="178">
        <f t="shared" si="116"/>
        <v>0</v>
      </c>
      <c r="AK109" s="178">
        <f t="shared" si="116"/>
        <v>957625</v>
      </c>
      <c r="AL109" s="178">
        <f t="shared" si="116"/>
        <v>5845</v>
      </c>
      <c r="AM109" s="178">
        <f t="shared" si="116"/>
        <v>963470</v>
      </c>
      <c r="AN109" s="178">
        <f t="shared" si="116"/>
        <v>883558</v>
      </c>
      <c r="AO109" s="178">
        <f t="shared" si="116"/>
        <v>980477</v>
      </c>
      <c r="AP109" s="178">
        <f t="shared" si="116"/>
        <v>35815</v>
      </c>
      <c r="AQ109" s="178">
        <f t="shared" si="116"/>
        <v>1516</v>
      </c>
      <c r="AR109" s="178">
        <f t="shared" si="116"/>
        <v>37331</v>
      </c>
      <c r="AS109" s="12">
        <f t="shared" ref="AS109" si="117">SUM(AS85:AS105)</f>
        <v>1010379.0425700003</v>
      </c>
      <c r="AT109" s="12" t="e">
        <f t="shared" si="97"/>
        <v>#REF!</v>
      </c>
      <c r="AU109" s="30" t="e">
        <f>AT109-AI109</f>
        <v>#REF!</v>
      </c>
      <c r="AV109" s="12">
        <f t="shared" si="99"/>
        <v>-60669.067079122644</v>
      </c>
      <c r="AW109" s="36">
        <f t="shared" si="100"/>
        <v>-5.6644576963959095E-2</v>
      </c>
      <c r="AX109" s="36"/>
      <c r="AY109" s="300">
        <f>SUM(AY85:AY108)</f>
        <v>993780.31923000002</v>
      </c>
      <c r="AZ109" s="300">
        <f>SUM(AZ85:AZ108)</f>
        <v>13303.31923000001</v>
      </c>
      <c r="BA109" s="36"/>
      <c r="BB109" s="93">
        <f>SUM(BB85:BB108)</f>
        <v>1023682.3618000002</v>
      </c>
      <c r="BC109" s="36"/>
      <c r="BD109" s="292">
        <f>SUM(BD85:BD108)</f>
        <v>9926.8009999999995</v>
      </c>
      <c r="BE109" s="15">
        <f>BD109/AY109</f>
        <v>9.9889289492988489E-3</v>
      </c>
      <c r="BF109" s="15">
        <f>(BB109-X109)/X109</f>
        <v>-9.1714714878671569E-2</v>
      </c>
      <c r="BI109" s="28">
        <f>SUM(BI85:BI108)</f>
        <v>976195</v>
      </c>
      <c r="BJ109" s="300">
        <f t="shared" si="110"/>
        <v>-17585.319230000023</v>
      </c>
      <c r="BK109" s="30">
        <f>SUM(BK85:BK108)</f>
        <v>1013526</v>
      </c>
      <c r="BL109" s="564">
        <f>SUM(BL85:BL108)</f>
        <v>1069193.0762376992</v>
      </c>
      <c r="BM109" s="256">
        <f t="shared" si="112"/>
        <v>-1855.0334114236757</v>
      </c>
      <c r="BN109" s="15">
        <f t="shared" si="113"/>
        <v>-1.7319795392117237E-3</v>
      </c>
      <c r="BO109" s="12">
        <f>'FY 2013 by Agency'!AX109*Inflator!$E$13</f>
        <v>1026705.1296917915</v>
      </c>
      <c r="BP109" s="12">
        <f t="shared" si="74"/>
        <v>-44342.979957331438</v>
      </c>
      <c r="BQ109" s="15">
        <f t="shared" si="75"/>
        <v>-4.1401482863228499E-2</v>
      </c>
      <c r="BR109" s="12">
        <f>'FY 2013 by Agency'!BE109*Inflator!$E$14</f>
        <v>987575.07673932519</v>
      </c>
      <c r="BS109" s="12">
        <f t="shared" si="76"/>
        <v>-39130.0529524663</v>
      </c>
      <c r="BT109" s="15">
        <f t="shared" si="77"/>
        <v>-3.8112260103553612E-2</v>
      </c>
      <c r="BU109" s="12">
        <f>SUM(BU85:BU108)</f>
        <v>1026423.2773962376</v>
      </c>
      <c r="BV109" s="52">
        <f t="shared" si="114"/>
        <v>-42769.798841461656</v>
      </c>
      <c r="BW109" s="30">
        <f>SUM(BW85:BW108)</f>
        <v>994221</v>
      </c>
      <c r="BX109" s="12">
        <f>SUM(BX85:BX108)</f>
        <v>1036507</v>
      </c>
      <c r="BY109" s="213">
        <f>SUM(BY85:BY107)</f>
        <v>984430</v>
      </c>
      <c r="BZ109" s="39">
        <f t="shared" si="72"/>
        <v>6645.9232606748119</v>
      </c>
      <c r="CA109" s="51">
        <f t="shared" si="73"/>
        <v>6.7295372445177982E-3</v>
      </c>
      <c r="CC109" s="39"/>
    </row>
    <row r="110" spans="1:82" s="13" customFormat="1" ht="18" customHeight="1">
      <c r="A110" s="64" t="s">
        <v>455</v>
      </c>
      <c r="B110" s="322"/>
      <c r="C110" s="322"/>
      <c r="D110" s="322"/>
      <c r="E110" s="351"/>
      <c r="F110" s="10"/>
      <c r="G110" s="10"/>
      <c r="H110" s="14"/>
      <c r="I110" s="10"/>
      <c r="J110" s="10"/>
      <c r="K110" s="14"/>
      <c r="L110" s="10"/>
      <c r="M110" s="10"/>
      <c r="N110" s="14"/>
      <c r="O110" s="10"/>
      <c r="P110" s="12"/>
      <c r="Q110" s="36"/>
      <c r="R110" s="52"/>
      <c r="S110" s="12"/>
      <c r="T110" s="36"/>
      <c r="U110" s="52"/>
      <c r="V110" s="12"/>
      <c r="W110" s="45"/>
      <c r="X110" s="52"/>
      <c r="Y110" s="12"/>
      <c r="Z110" s="45"/>
      <c r="AA110" s="52"/>
      <c r="AB110" s="30"/>
      <c r="AC110" s="58"/>
      <c r="AD110" s="52"/>
      <c r="AE110" s="178"/>
      <c r="AF110" s="178"/>
      <c r="AG110" s="52"/>
      <c r="AH110" s="58"/>
      <c r="AI110" s="178"/>
      <c r="AJ110" s="178"/>
      <c r="AK110" s="178"/>
      <c r="AL110" s="178"/>
      <c r="AM110" s="178"/>
      <c r="AN110" s="178"/>
      <c r="AO110" s="178"/>
      <c r="AP110" s="178"/>
      <c r="AQ110" s="178"/>
      <c r="AR110" s="52">
        <f>'FY 2013 by Agency'!AR110</f>
        <v>0</v>
      </c>
      <c r="AS110" s="52">
        <f>'FY 2013 by Agency'!AS110</f>
        <v>0</v>
      </c>
      <c r="AT110" s="12"/>
      <c r="AU110" s="30"/>
      <c r="AV110" s="12"/>
      <c r="AW110" s="36"/>
      <c r="AX110" s="58"/>
      <c r="AY110" s="58"/>
      <c r="AZ110" s="58"/>
      <c r="BA110" s="58"/>
      <c r="BB110" s="58"/>
      <c r="BC110" s="58"/>
      <c r="BD110" s="289"/>
      <c r="BE110" s="280"/>
      <c r="BI110" s="28"/>
      <c r="BK110" s="319"/>
      <c r="BL110" s="567"/>
      <c r="BM110" s="256"/>
      <c r="BN110" s="287"/>
      <c r="BP110" s="52"/>
      <c r="BQ110" s="50"/>
      <c r="BR110" s="12"/>
      <c r="BS110" s="52"/>
      <c r="BT110" s="50"/>
      <c r="BU110" s="256"/>
      <c r="BV110" s="256"/>
      <c r="BW110" s="39">
        <f>+BW109-920</f>
        <v>993301</v>
      </c>
      <c r="BX110" s="534">
        <f>'FY 2013 by Agency'!BW110*Inflator!E$15</f>
        <v>993301</v>
      </c>
      <c r="BY110" s="534">
        <f>BY109-920</f>
        <v>983510</v>
      </c>
      <c r="BZ110" s="39">
        <f t="shared" si="72"/>
        <v>993301</v>
      </c>
      <c r="CA110" s="51" t="e">
        <f t="shared" si="73"/>
        <v>#DIV/0!</v>
      </c>
      <c r="CC110" s="39"/>
      <c r="CD110" s="30"/>
    </row>
    <row r="111" spans="1:82" s="13" customFormat="1" ht="18" customHeight="1">
      <c r="A111" s="64" t="s">
        <v>456</v>
      </c>
      <c r="B111" s="322"/>
      <c r="C111" s="322"/>
      <c r="D111" s="322"/>
      <c r="E111" s="351"/>
      <c r="F111" s="10"/>
      <c r="G111" s="10"/>
      <c r="H111" s="14"/>
      <c r="I111" s="10"/>
      <c r="J111" s="10"/>
      <c r="K111" s="14"/>
      <c r="L111" s="10"/>
      <c r="M111" s="10"/>
      <c r="N111" s="14"/>
      <c r="O111" s="10"/>
      <c r="P111" s="12"/>
      <c r="Q111" s="36"/>
      <c r="R111" s="52"/>
      <c r="S111" s="12"/>
      <c r="T111" s="36"/>
      <c r="U111" s="52"/>
      <c r="V111" s="12"/>
      <c r="W111" s="45"/>
      <c r="X111" s="52"/>
      <c r="Y111" s="12"/>
      <c r="Z111" s="45"/>
      <c r="AA111" s="52"/>
      <c r="AB111" s="30"/>
      <c r="AC111" s="58"/>
      <c r="AD111" s="52"/>
      <c r="AE111" s="178"/>
      <c r="AF111" s="178"/>
      <c r="AG111" s="52"/>
      <c r="AH111" s="58"/>
      <c r="AI111" s="178"/>
      <c r="AJ111" s="178"/>
      <c r="AK111" s="178"/>
      <c r="AL111" s="178"/>
      <c r="AM111" s="178"/>
      <c r="AN111" s="178"/>
      <c r="AO111" s="178"/>
      <c r="AP111" s="178"/>
      <c r="AQ111" s="178"/>
      <c r="AR111" s="52">
        <f>'FY 2013 by Agency'!AR111</f>
        <v>0</v>
      </c>
      <c r="AS111" s="52">
        <f>'FY 2013 by Agency'!AS111</f>
        <v>0</v>
      </c>
      <c r="AT111" s="12" t="e">
        <f>AR111-AD109</f>
        <v>#REF!</v>
      </c>
      <c r="AU111" s="36" t="e">
        <f>AT111/AD109</f>
        <v>#REF!</v>
      </c>
      <c r="AV111" s="12">
        <f>AS111-AF109</f>
        <v>-1071048.1096491229</v>
      </c>
      <c r="AW111" s="36">
        <f>AV111/AF109</f>
        <v>-1</v>
      </c>
      <c r="AX111" s="58"/>
      <c r="AY111" s="65">
        <f>+AZ109+AS111</f>
        <v>13303.31923000001</v>
      </c>
      <c r="AZ111" s="65">
        <f>+AY111-AF109</f>
        <v>-1057744.7904191229</v>
      </c>
      <c r="BA111" s="65"/>
      <c r="BB111" s="58">
        <f>+AZ111/AF109</f>
        <v>-0.987579158106765</v>
      </c>
      <c r="BC111" s="58"/>
      <c r="BD111" s="289"/>
      <c r="BE111" s="280"/>
      <c r="BI111" s="28"/>
      <c r="BK111" s="319"/>
      <c r="BL111" s="567"/>
      <c r="BM111" s="256"/>
      <c r="BN111" s="287"/>
      <c r="BP111" s="52"/>
      <c r="BQ111" s="50"/>
      <c r="BR111" s="12"/>
      <c r="BS111" s="52">
        <f>BR111-BO109</f>
        <v>-1026705.1296917915</v>
      </c>
      <c r="BT111" s="287">
        <f>BS111/BO109</f>
        <v>-1</v>
      </c>
      <c r="BU111" s="256"/>
      <c r="BV111" s="256"/>
      <c r="BW111" s="39">
        <f>+BW109-920</f>
        <v>993301</v>
      </c>
      <c r="BX111" s="534">
        <f>'FY 2013 by Agency'!BW111*Inflator!E$15</f>
        <v>993301</v>
      </c>
      <c r="BY111" s="534">
        <f>BY109-920</f>
        <v>983510</v>
      </c>
      <c r="BZ111" s="39">
        <f t="shared" si="72"/>
        <v>993301</v>
      </c>
      <c r="CA111" s="51" t="e">
        <f t="shared" si="73"/>
        <v>#DIV/0!</v>
      </c>
      <c r="CC111" s="39"/>
    </row>
    <row r="112" spans="1:82" s="13" customFormat="1" ht="18" customHeight="1">
      <c r="A112" s="64"/>
      <c r="B112" s="322"/>
      <c r="C112" s="322"/>
      <c r="D112" s="322"/>
      <c r="E112" s="351"/>
      <c r="F112" s="10"/>
      <c r="G112" s="10"/>
      <c r="H112" s="14"/>
      <c r="I112" s="10"/>
      <c r="J112" s="10"/>
      <c r="K112" s="14"/>
      <c r="L112" s="10"/>
      <c r="M112" s="10"/>
      <c r="N112" s="14"/>
      <c r="O112" s="10"/>
      <c r="P112" s="12"/>
      <c r="Q112" s="36"/>
      <c r="R112" s="52"/>
      <c r="S112" s="52"/>
      <c r="T112" s="58"/>
      <c r="U112" s="52"/>
      <c r="V112" s="52"/>
      <c r="W112" s="58"/>
      <c r="X112" s="52"/>
      <c r="AA112" s="52"/>
      <c r="AB112" s="220"/>
      <c r="AC112" s="28"/>
      <c r="AD112" s="52"/>
      <c r="AE112" s="180"/>
      <c r="AF112" s="163"/>
      <c r="AG112" s="163"/>
      <c r="AH112" s="163"/>
      <c r="AI112" s="163"/>
      <c r="AM112" s="84"/>
      <c r="AN112" s="172"/>
      <c r="AO112" s="97"/>
      <c r="AP112" s="12"/>
      <c r="AQ112" s="12"/>
      <c r="AR112" s="12"/>
      <c r="AS112" s="52"/>
      <c r="AT112" s="52"/>
      <c r="AU112" s="30"/>
      <c r="AV112" s="97"/>
      <c r="AW112" s="136"/>
      <c r="AY112" s="28"/>
      <c r="BD112" s="292"/>
      <c r="BE112" s="300"/>
      <c r="BI112" s="28"/>
      <c r="BK112" s="319"/>
      <c r="BL112" s="567"/>
      <c r="BM112" s="256"/>
      <c r="BN112" s="287"/>
      <c r="BP112" s="52"/>
      <c r="BQ112" s="50"/>
      <c r="BR112" s="52"/>
      <c r="BS112" s="52"/>
      <c r="BT112" s="50"/>
      <c r="BU112" s="256"/>
      <c r="BV112" s="262"/>
      <c r="BW112" s="39"/>
      <c r="BX112" s="12"/>
      <c r="BY112" s="534"/>
      <c r="BZ112" s="39">
        <f t="shared" si="72"/>
        <v>0</v>
      </c>
      <c r="CA112" s="51" t="e">
        <f t="shared" si="73"/>
        <v>#DIV/0!</v>
      </c>
      <c r="CC112" s="39"/>
    </row>
    <row r="113" spans="1:251" s="13" customFormat="1" ht="18" customHeight="1">
      <c r="A113" s="73" t="s">
        <v>84</v>
      </c>
      <c r="B113" s="322"/>
      <c r="C113" s="322"/>
      <c r="D113" s="322"/>
      <c r="E113" s="351"/>
      <c r="F113" s="10"/>
      <c r="G113" s="10"/>
      <c r="H113" s="14"/>
      <c r="I113" s="10"/>
      <c r="J113" s="10"/>
      <c r="K113" s="14"/>
      <c r="L113" s="10"/>
      <c r="M113" s="10"/>
      <c r="N113" s="14"/>
      <c r="O113" s="10"/>
      <c r="P113" s="12"/>
      <c r="Q113" s="36"/>
      <c r="R113" s="52"/>
      <c r="S113" s="52"/>
      <c r="T113" s="58"/>
      <c r="U113" s="52"/>
      <c r="V113" s="52"/>
      <c r="W113" s="58"/>
      <c r="X113" s="52"/>
      <c r="AA113" s="52"/>
      <c r="AC113" s="28"/>
      <c r="AD113" s="52"/>
      <c r="AE113" s="180"/>
      <c r="AF113" s="163"/>
      <c r="AG113" s="163"/>
      <c r="AH113" s="163"/>
      <c r="AI113" s="163"/>
      <c r="AM113" s="84"/>
      <c r="AN113" s="172"/>
      <c r="AO113" s="97"/>
      <c r="AP113" s="12"/>
      <c r="AQ113" s="12"/>
      <c r="AR113" s="12"/>
      <c r="AS113" s="52"/>
      <c r="AT113" s="52"/>
      <c r="AU113" s="30"/>
      <c r="AV113" s="97"/>
      <c r="AW113" s="136"/>
      <c r="BD113" s="292"/>
      <c r="BE113" s="300"/>
      <c r="BI113" s="28"/>
      <c r="BK113" s="319"/>
      <c r="BL113" s="567"/>
      <c r="BM113" s="256"/>
      <c r="BN113" s="287"/>
      <c r="BP113" s="52"/>
      <c r="BQ113" s="50"/>
      <c r="BR113" s="52"/>
      <c r="BS113" s="52"/>
      <c r="BT113" s="50"/>
      <c r="BU113" s="256"/>
      <c r="BV113" s="256"/>
      <c r="BW113" s="39"/>
      <c r="BY113" s="534"/>
      <c r="BZ113" s="39">
        <f t="shared" si="72"/>
        <v>0</v>
      </c>
      <c r="CA113" s="51" t="e">
        <f t="shared" si="73"/>
        <v>#DIV/0!</v>
      </c>
      <c r="CC113" s="39"/>
    </row>
    <row r="114" spans="1:251" s="13" customFormat="1" ht="18" customHeight="1">
      <c r="A114" s="73" t="s">
        <v>176</v>
      </c>
      <c r="B114" s="322"/>
      <c r="C114" s="322"/>
      <c r="D114" s="322"/>
      <c r="E114" s="351"/>
      <c r="F114" s="10"/>
      <c r="G114" s="10"/>
      <c r="H114" s="14"/>
      <c r="I114" s="10"/>
      <c r="J114" s="10"/>
      <c r="K114" s="14"/>
      <c r="L114" s="10"/>
      <c r="M114" s="10"/>
      <c r="N114" s="14"/>
      <c r="O114" s="10"/>
      <c r="P114" s="12"/>
      <c r="Q114" s="36"/>
      <c r="R114" s="52"/>
      <c r="S114" s="52"/>
      <c r="T114" s="58"/>
      <c r="U114" s="52"/>
      <c r="V114" s="52"/>
      <c r="W114" s="58"/>
      <c r="X114" s="52"/>
      <c r="AA114" s="52"/>
      <c r="AC114" s="28"/>
      <c r="AD114" s="52"/>
      <c r="AE114" s="180"/>
      <c r="AF114" s="163"/>
      <c r="AG114" s="163"/>
      <c r="AH114" s="163"/>
      <c r="AI114" s="163"/>
      <c r="AM114" s="84"/>
      <c r="AN114" s="172"/>
      <c r="AO114" s="97"/>
      <c r="AP114" s="12"/>
      <c r="AQ114" s="12"/>
      <c r="AR114" s="36"/>
      <c r="AS114" s="52"/>
      <c r="AT114" s="52"/>
      <c r="AU114" s="30"/>
      <c r="AV114" s="97"/>
      <c r="AW114" s="136"/>
      <c r="BD114" s="292"/>
      <c r="BE114" s="300"/>
      <c r="BI114" s="28"/>
      <c r="BK114" s="319"/>
      <c r="BL114" s="567"/>
      <c r="BM114" s="256"/>
      <c r="BN114" s="287"/>
      <c r="BP114" s="52"/>
      <c r="BQ114" s="50"/>
      <c r="BR114" s="52"/>
      <c r="BS114" s="52"/>
      <c r="BT114" s="50"/>
      <c r="BU114" s="256"/>
      <c r="BV114" s="256"/>
      <c r="BW114" s="39"/>
      <c r="BY114" s="534"/>
      <c r="BZ114" s="39">
        <f t="shared" si="72"/>
        <v>0</v>
      </c>
      <c r="CA114" s="51" t="e">
        <f t="shared" si="73"/>
        <v>#DIV/0!</v>
      </c>
      <c r="CC114" s="39"/>
    </row>
    <row r="115" spans="1:251" s="13" customFormat="1" ht="18" customHeight="1">
      <c r="A115" s="73" t="s">
        <v>174</v>
      </c>
      <c r="B115" s="322"/>
      <c r="C115" s="322"/>
      <c r="D115" s="322"/>
      <c r="E115" s="351"/>
      <c r="F115" s="10"/>
      <c r="G115" s="10"/>
      <c r="H115" s="14"/>
      <c r="I115" s="10"/>
      <c r="J115" s="10"/>
      <c r="K115" s="14"/>
      <c r="L115" s="10"/>
      <c r="M115" s="10"/>
      <c r="N115" s="14"/>
      <c r="O115" s="10"/>
      <c r="P115" s="12"/>
      <c r="Q115" s="36"/>
      <c r="R115" s="52"/>
      <c r="S115" s="52"/>
      <c r="T115" s="58"/>
      <c r="U115" s="52"/>
      <c r="V115" s="52"/>
      <c r="W115" s="58"/>
      <c r="X115" s="52"/>
      <c r="AA115" s="52"/>
      <c r="AC115" s="28"/>
      <c r="AD115" s="52"/>
      <c r="AE115" s="180"/>
      <c r="AF115" s="163"/>
      <c r="AG115" s="163"/>
      <c r="AH115" s="163"/>
      <c r="AI115" s="163"/>
      <c r="AM115" s="84"/>
      <c r="AN115" s="172"/>
      <c r="AO115" s="97"/>
      <c r="AP115" s="12"/>
      <c r="AQ115" s="12"/>
      <c r="AR115" s="12"/>
      <c r="AS115" s="52"/>
      <c r="AT115" s="52"/>
      <c r="AU115" s="30"/>
      <c r="AV115" s="97"/>
      <c r="AW115" s="136"/>
      <c r="BD115" s="292"/>
      <c r="BE115" s="300"/>
      <c r="BI115" s="28"/>
      <c r="BK115" s="319"/>
      <c r="BL115" s="567"/>
      <c r="BM115" s="256"/>
      <c r="BN115" s="287"/>
      <c r="BP115" s="52"/>
      <c r="BQ115" s="50"/>
      <c r="BR115" s="52"/>
      <c r="BS115" s="52"/>
      <c r="BT115" s="50"/>
      <c r="BU115" s="256"/>
      <c r="BV115" s="256"/>
      <c r="BW115" s="39"/>
      <c r="BY115" s="534"/>
      <c r="BZ115" s="39">
        <f t="shared" si="72"/>
        <v>0</v>
      </c>
      <c r="CA115" s="51" t="e">
        <f t="shared" si="73"/>
        <v>#DIV/0!</v>
      </c>
      <c r="CC115" s="39"/>
    </row>
    <row r="116" spans="1:251" s="13" customFormat="1" ht="18" customHeight="1">
      <c r="A116" s="83" t="s">
        <v>177</v>
      </c>
      <c r="B116" s="322"/>
      <c r="C116" s="322"/>
      <c r="D116" s="322"/>
      <c r="E116" s="351"/>
      <c r="F116" s="10"/>
      <c r="G116" s="10"/>
      <c r="H116" s="14"/>
      <c r="I116" s="10"/>
      <c r="J116" s="10"/>
      <c r="K116" s="14"/>
      <c r="L116" s="10"/>
      <c r="M116" s="10"/>
      <c r="N116" s="14"/>
      <c r="O116" s="10"/>
      <c r="P116" s="50"/>
      <c r="Q116" s="50"/>
      <c r="R116" s="52"/>
      <c r="S116" s="50"/>
      <c r="T116" s="50"/>
      <c r="U116" s="52"/>
      <c r="V116" s="50"/>
      <c r="W116" s="50"/>
      <c r="X116" s="52"/>
      <c r="Y116" s="50"/>
      <c r="Z116" s="50"/>
      <c r="AA116" s="52"/>
      <c r="AB116" s="50"/>
      <c r="AC116" s="65"/>
      <c r="AD116" s="52"/>
      <c r="AE116" s="166"/>
      <c r="AF116" s="157"/>
      <c r="AG116" s="157"/>
      <c r="AH116" s="157"/>
      <c r="AI116" s="157"/>
      <c r="AJ116" s="50"/>
      <c r="AK116" s="50"/>
      <c r="AL116" s="50"/>
      <c r="AM116" s="84"/>
      <c r="AN116" s="172"/>
      <c r="AO116" s="97"/>
      <c r="AP116" s="52"/>
      <c r="AQ116" s="52"/>
      <c r="AR116" s="52"/>
      <c r="AS116" s="52"/>
      <c r="AT116" s="52"/>
      <c r="AU116" s="30"/>
      <c r="AV116" s="99"/>
      <c r="AW116" s="62"/>
      <c r="AX116" s="50"/>
      <c r="AY116" s="50"/>
      <c r="AZ116" s="50"/>
      <c r="BA116" s="50"/>
      <c r="BB116" s="50"/>
      <c r="BC116" s="50"/>
      <c r="BD116" s="289"/>
      <c r="BE116" s="280"/>
      <c r="BF116" s="50"/>
      <c r="BG116" s="50"/>
      <c r="BH116" s="50"/>
      <c r="BI116" s="65"/>
      <c r="BJ116" s="50"/>
      <c r="BK116" s="314"/>
      <c r="BL116" s="568"/>
      <c r="BM116" s="52"/>
      <c r="BN116" s="51"/>
      <c r="BO116" s="50"/>
      <c r="BP116" s="52"/>
      <c r="BQ116" s="50"/>
      <c r="BR116" s="52"/>
      <c r="BS116" s="52"/>
      <c r="BT116" s="50"/>
      <c r="BU116" s="52"/>
      <c r="BV116" s="52"/>
      <c r="BW116" s="39"/>
      <c r="BX116" s="50"/>
      <c r="BY116" s="534"/>
      <c r="BZ116" s="39">
        <f t="shared" si="72"/>
        <v>0</v>
      </c>
      <c r="CA116" s="51" t="e">
        <f t="shared" si="73"/>
        <v>#DIV/0!</v>
      </c>
      <c r="CC116" s="39"/>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c r="DE116" s="50"/>
      <c r="DF116" s="50"/>
      <c r="DG116" s="50"/>
      <c r="DH116" s="50"/>
      <c r="DI116" s="50"/>
      <c r="DJ116" s="50"/>
      <c r="DK116" s="50"/>
      <c r="DL116" s="50"/>
      <c r="DM116" s="50"/>
      <c r="DN116" s="50"/>
      <c r="DO116" s="50"/>
      <c r="DP116" s="50"/>
      <c r="DQ116" s="50"/>
      <c r="DR116" s="50"/>
      <c r="DS116" s="50"/>
      <c r="DT116" s="50"/>
      <c r="DU116" s="50"/>
      <c r="DV116" s="50"/>
      <c r="DW116" s="50"/>
      <c r="DX116" s="50"/>
      <c r="DY116" s="50"/>
      <c r="DZ116" s="50"/>
      <c r="EA116" s="50"/>
      <c r="EB116" s="50"/>
      <c r="EC116" s="50"/>
      <c r="ED116" s="50"/>
      <c r="EE116" s="50"/>
      <c r="EF116" s="50"/>
      <c r="EG116" s="50"/>
      <c r="EH116" s="50"/>
      <c r="EI116" s="50"/>
      <c r="EJ116" s="50"/>
      <c r="EK116" s="50"/>
      <c r="EL116" s="50"/>
      <c r="EM116" s="50"/>
      <c r="EN116" s="50"/>
      <c r="EO116" s="50"/>
      <c r="EP116" s="50"/>
      <c r="EQ116" s="50"/>
      <c r="ER116" s="50"/>
      <c r="ES116" s="50"/>
      <c r="ET116" s="50"/>
      <c r="EU116" s="50"/>
      <c r="EV116" s="50"/>
      <c r="EW116" s="50"/>
      <c r="EX116" s="50"/>
      <c r="EY116" s="50"/>
      <c r="EZ116" s="50"/>
      <c r="FA116" s="50"/>
      <c r="FB116" s="50"/>
      <c r="FC116" s="50"/>
      <c r="FD116" s="50"/>
      <c r="FE116" s="50"/>
      <c r="FF116" s="50"/>
      <c r="FG116" s="50"/>
      <c r="FH116" s="50"/>
      <c r="FI116" s="50"/>
      <c r="FJ116" s="50"/>
      <c r="FK116" s="50"/>
      <c r="FL116" s="50"/>
      <c r="FM116" s="50"/>
      <c r="FN116" s="50"/>
      <c r="FO116" s="50"/>
      <c r="FP116" s="50"/>
      <c r="FQ116" s="50"/>
      <c r="FR116" s="50"/>
      <c r="FS116" s="50"/>
      <c r="FT116" s="50"/>
      <c r="FU116" s="50"/>
      <c r="FV116" s="50"/>
      <c r="FW116" s="50"/>
      <c r="FX116" s="50"/>
      <c r="FY116" s="50"/>
      <c r="FZ116" s="50"/>
      <c r="GA116" s="50"/>
      <c r="GB116" s="50"/>
      <c r="GC116" s="50"/>
      <c r="GD116" s="50"/>
      <c r="GE116" s="50"/>
      <c r="GF116" s="50"/>
      <c r="GG116" s="50"/>
      <c r="GH116" s="50"/>
      <c r="GI116" s="50"/>
      <c r="GJ116" s="50"/>
      <c r="GK116" s="50"/>
      <c r="GL116" s="50"/>
      <c r="GM116" s="50"/>
      <c r="GN116" s="50"/>
      <c r="GO116" s="50"/>
      <c r="GP116" s="50"/>
      <c r="GQ116" s="50"/>
      <c r="GR116" s="50"/>
      <c r="GS116" s="50"/>
      <c r="GT116" s="50"/>
      <c r="GU116" s="50"/>
      <c r="GV116" s="50"/>
      <c r="GW116" s="50"/>
      <c r="GX116" s="50"/>
      <c r="GY116" s="50"/>
      <c r="GZ116" s="50"/>
      <c r="HA116" s="50"/>
      <c r="HB116" s="50"/>
      <c r="HC116" s="50"/>
      <c r="HD116" s="50"/>
      <c r="HE116" s="50"/>
      <c r="HF116" s="50"/>
      <c r="HG116" s="50"/>
      <c r="HH116" s="50"/>
      <c r="HI116" s="50"/>
      <c r="HJ116" s="50"/>
      <c r="HK116" s="50"/>
      <c r="HL116" s="50"/>
      <c r="HM116" s="50"/>
      <c r="HN116" s="50"/>
      <c r="HO116" s="50"/>
      <c r="HP116" s="50"/>
      <c r="HQ116" s="50"/>
      <c r="HR116" s="50"/>
      <c r="HS116" s="50"/>
      <c r="HT116" s="50"/>
      <c r="HU116" s="50"/>
      <c r="HV116" s="50"/>
      <c r="HW116" s="50"/>
      <c r="HX116" s="50"/>
      <c r="HY116" s="50"/>
      <c r="HZ116" s="50"/>
      <c r="IA116" s="50"/>
      <c r="IB116" s="50"/>
      <c r="IC116" s="50"/>
      <c r="ID116" s="50"/>
      <c r="IE116" s="50"/>
      <c r="IF116" s="50"/>
      <c r="IG116" s="50"/>
      <c r="IH116" s="50"/>
      <c r="II116" s="50"/>
      <c r="IJ116" s="50"/>
      <c r="IK116" s="50"/>
      <c r="IL116" s="50"/>
      <c r="IM116" s="50"/>
      <c r="IN116" s="50"/>
      <c r="IO116" s="50"/>
      <c r="IP116" s="50"/>
      <c r="IQ116" s="50"/>
    </row>
    <row r="117" spans="1:251" s="13" customFormat="1" ht="18" customHeight="1">
      <c r="A117" s="83" t="s">
        <v>187</v>
      </c>
      <c r="B117" s="322"/>
      <c r="C117" s="322"/>
      <c r="D117" s="322"/>
      <c r="E117" s="351"/>
      <c r="F117" s="10"/>
      <c r="G117" s="10"/>
      <c r="H117" s="14"/>
      <c r="I117" s="10"/>
      <c r="J117" s="10"/>
      <c r="K117" s="14"/>
      <c r="L117" s="10"/>
      <c r="M117" s="10"/>
      <c r="N117" s="14"/>
      <c r="O117" s="10"/>
      <c r="P117" s="50"/>
      <c r="Q117" s="50"/>
      <c r="R117" s="52"/>
      <c r="S117" s="50"/>
      <c r="T117" s="50"/>
      <c r="U117" s="52"/>
      <c r="V117" s="50"/>
      <c r="W117" s="50"/>
      <c r="X117" s="52"/>
      <c r="Y117" s="50"/>
      <c r="Z117" s="50"/>
      <c r="AA117" s="52"/>
      <c r="AB117" s="50"/>
      <c r="AC117" s="65"/>
      <c r="AD117" s="52"/>
      <c r="AE117" s="166"/>
      <c r="AF117" s="157"/>
      <c r="AG117" s="157"/>
      <c r="AH117" s="157"/>
      <c r="AI117" s="157"/>
      <c r="AJ117" s="50"/>
      <c r="AK117" s="50"/>
      <c r="AL117" s="50"/>
      <c r="AM117" s="84"/>
      <c r="AN117" s="172"/>
      <c r="AO117" s="97"/>
      <c r="AP117" s="52"/>
      <c r="AQ117" s="52"/>
      <c r="AR117" s="52"/>
      <c r="AS117" s="52"/>
      <c r="AT117" s="52"/>
      <c r="AU117" s="30"/>
      <c r="AV117" s="99"/>
      <c r="AW117" s="62"/>
      <c r="AX117" s="50"/>
      <c r="AY117" s="50"/>
      <c r="AZ117" s="50"/>
      <c r="BA117" s="50"/>
      <c r="BB117" s="50"/>
      <c r="BC117" s="50"/>
      <c r="BD117" s="289"/>
      <c r="BE117" s="280"/>
      <c r="BF117" s="50"/>
      <c r="BG117" s="50"/>
      <c r="BH117" s="50"/>
      <c r="BI117" s="65"/>
      <c r="BJ117" s="50"/>
      <c r="BK117" s="314"/>
      <c r="BL117" s="568"/>
      <c r="BM117" s="52"/>
      <c r="BN117" s="51"/>
      <c r="BO117" s="50"/>
      <c r="BP117" s="52"/>
      <c r="BQ117" s="50"/>
      <c r="BR117" s="52"/>
      <c r="BS117" s="52"/>
      <c r="BT117" s="50"/>
      <c r="BU117" s="52"/>
      <c r="BV117" s="52"/>
      <c r="BW117" s="39"/>
      <c r="BX117" s="50"/>
      <c r="BY117" s="534"/>
      <c r="BZ117" s="39">
        <f t="shared" si="72"/>
        <v>0</v>
      </c>
      <c r="CA117" s="51" t="e">
        <f t="shared" si="73"/>
        <v>#DIV/0!</v>
      </c>
      <c r="CC117" s="39"/>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c r="DE117" s="50"/>
      <c r="DF117" s="50"/>
      <c r="DG117" s="50"/>
      <c r="DH117" s="50"/>
      <c r="DI117" s="50"/>
      <c r="DJ117" s="50"/>
      <c r="DK117" s="50"/>
      <c r="DL117" s="50"/>
      <c r="DM117" s="50"/>
      <c r="DN117" s="50"/>
      <c r="DO117" s="50"/>
      <c r="DP117" s="50"/>
      <c r="DQ117" s="50"/>
      <c r="DR117" s="50"/>
      <c r="DS117" s="50"/>
      <c r="DT117" s="50"/>
      <c r="DU117" s="50"/>
      <c r="DV117" s="50"/>
      <c r="DW117" s="50"/>
      <c r="DX117" s="50"/>
      <c r="DY117" s="50"/>
      <c r="DZ117" s="50"/>
      <c r="EA117" s="50"/>
      <c r="EB117" s="50"/>
      <c r="EC117" s="50"/>
      <c r="ED117" s="50"/>
      <c r="EE117" s="50"/>
      <c r="EF117" s="50"/>
      <c r="EG117" s="50"/>
      <c r="EH117" s="50"/>
      <c r="EI117" s="50"/>
      <c r="EJ117" s="50"/>
      <c r="EK117" s="50"/>
      <c r="EL117" s="50"/>
      <c r="EM117" s="50"/>
      <c r="EN117" s="50"/>
      <c r="EO117" s="50"/>
      <c r="EP117" s="50"/>
      <c r="EQ117" s="50"/>
      <c r="ER117" s="50"/>
      <c r="ES117" s="50"/>
      <c r="ET117" s="50"/>
      <c r="EU117" s="50"/>
      <c r="EV117" s="50"/>
      <c r="EW117" s="50"/>
      <c r="EX117" s="50"/>
      <c r="EY117" s="50"/>
      <c r="EZ117" s="50"/>
      <c r="FA117" s="50"/>
      <c r="FB117" s="50"/>
      <c r="FC117" s="50"/>
      <c r="FD117" s="50"/>
      <c r="FE117" s="50"/>
      <c r="FF117" s="50"/>
      <c r="FG117" s="50"/>
      <c r="FH117" s="50"/>
      <c r="FI117" s="50"/>
      <c r="FJ117" s="50"/>
      <c r="FK117" s="50"/>
      <c r="FL117" s="50"/>
      <c r="FM117" s="50"/>
      <c r="FN117" s="50"/>
      <c r="FO117" s="50"/>
      <c r="FP117" s="50"/>
      <c r="FQ117" s="50"/>
      <c r="FR117" s="50"/>
      <c r="FS117" s="50"/>
      <c r="FT117" s="50"/>
      <c r="FU117" s="50"/>
      <c r="FV117" s="50"/>
      <c r="FW117" s="50"/>
      <c r="FX117" s="50"/>
      <c r="FY117" s="50"/>
      <c r="FZ117" s="50"/>
      <c r="GA117" s="50"/>
      <c r="GB117" s="50"/>
      <c r="GC117" s="50"/>
      <c r="GD117" s="50"/>
      <c r="GE117" s="50"/>
      <c r="GF117" s="50"/>
      <c r="GG117" s="50"/>
      <c r="GH117" s="50"/>
      <c r="GI117" s="50"/>
      <c r="GJ117" s="50"/>
      <c r="GK117" s="50"/>
      <c r="GL117" s="50"/>
      <c r="GM117" s="50"/>
      <c r="GN117" s="50"/>
      <c r="GO117" s="50"/>
      <c r="GP117" s="50"/>
      <c r="GQ117" s="50"/>
      <c r="GR117" s="50"/>
      <c r="GS117" s="50"/>
      <c r="GT117" s="50"/>
      <c r="GU117" s="50"/>
      <c r="GV117" s="50"/>
      <c r="GW117" s="50"/>
      <c r="GX117" s="50"/>
      <c r="GY117" s="50"/>
      <c r="GZ117" s="50"/>
      <c r="HA117" s="50"/>
      <c r="HB117" s="50"/>
      <c r="HC117" s="50"/>
      <c r="HD117" s="50"/>
      <c r="HE117" s="50"/>
      <c r="HF117" s="50"/>
      <c r="HG117" s="50"/>
      <c r="HH117" s="50"/>
      <c r="HI117" s="50"/>
      <c r="HJ117" s="50"/>
      <c r="HK117" s="50"/>
      <c r="HL117" s="50"/>
      <c r="HM117" s="50"/>
      <c r="HN117" s="50"/>
      <c r="HO117" s="50"/>
      <c r="HP117" s="50"/>
      <c r="HQ117" s="50"/>
      <c r="HR117" s="50"/>
      <c r="HS117" s="50"/>
      <c r="HT117" s="50"/>
      <c r="HU117" s="50"/>
      <c r="HV117" s="50"/>
      <c r="HW117" s="50"/>
      <c r="HX117" s="50"/>
      <c r="HY117" s="50"/>
      <c r="HZ117" s="50"/>
      <c r="IA117" s="50"/>
      <c r="IB117" s="50"/>
      <c r="IC117" s="50"/>
      <c r="ID117" s="50"/>
      <c r="IE117" s="50"/>
      <c r="IF117" s="50"/>
      <c r="IG117" s="50"/>
      <c r="IH117" s="50"/>
      <c r="II117" s="50"/>
      <c r="IJ117" s="50"/>
      <c r="IK117" s="50"/>
      <c r="IL117" s="50"/>
      <c r="IM117" s="50"/>
      <c r="IN117" s="50"/>
      <c r="IO117" s="50"/>
      <c r="IP117" s="50"/>
      <c r="IQ117" s="50"/>
    </row>
    <row r="118" spans="1:251" ht="18" customHeight="1">
      <c r="A118" s="64"/>
      <c r="B118" s="322"/>
      <c r="C118" s="322"/>
      <c r="D118" s="322"/>
      <c r="E118" s="351"/>
      <c r="F118" s="10"/>
      <c r="G118" s="10"/>
      <c r="H118" s="14"/>
      <c r="I118" s="10"/>
      <c r="J118" s="10"/>
      <c r="K118" s="14"/>
      <c r="L118" s="10"/>
      <c r="M118" s="10"/>
      <c r="N118" s="14"/>
      <c r="O118" s="10"/>
      <c r="P118" s="63"/>
      <c r="Q118" s="72"/>
      <c r="R118" s="52"/>
      <c r="S118" s="52"/>
      <c r="T118" s="58"/>
      <c r="U118" s="52"/>
      <c r="V118" s="52"/>
      <c r="W118" s="58"/>
      <c r="X118" s="52"/>
      <c r="AA118" s="52"/>
      <c r="AD118" s="52"/>
      <c r="AI118" s="157"/>
      <c r="AM118" s="84"/>
      <c r="AN118" s="172"/>
      <c r="BD118" s="289"/>
      <c r="BI118" s="65"/>
      <c r="BL118" s="568"/>
      <c r="BN118" s="51"/>
      <c r="BP118" s="52"/>
      <c r="BR118" s="52"/>
      <c r="BS118" s="52"/>
      <c r="BW118" s="39"/>
      <c r="BY118" s="534"/>
      <c r="BZ118" s="39">
        <f t="shared" si="72"/>
        <v>0</v>
      </c>
      <c r="CA118" s="51" t="e">
        <f t="shared" si="73"/>
        <v>#DIV/0!</v>
      </c>
      <c r="CC118" s="39"/>
    </row>
    <row r="119" spans="1:251" s="109" customFormat="1" ht="18" customHeight="1">
      <c r="A119" s="116" t="s">
        <v>52</v>
      </c>
      <c r="B119" s="354"/>
      <c r="C119" s="354"/>
      <c r="D119" s="354"/>
      <c r="E119" s="357"/>
      <c r="F119" s="358"/>
      <c r="G119" s="358"/>
      <c r="H119" s="360"/>
      <c r="I119" s="358"/>
      <c r="J119" s="358"/>
      <c r="K119" s="360"/>
      <c r="L119" s="358"/>
      <c r="M119" s="358"/>
      <c r="N119" s="360"/>
      <c r="O119" s="358"/>
      <c r="P119" s="105"/>
      <c r="Q119" s="117"/>
      <c r="R119" s="107"/>
      <c r="S119" s="107"/>
      <c r="T119" s="125"/>
      <c r="U119" s="107"/>
      <c r="V119" s="107"/>
      <c r="W119" s="125"/>
      <c r="X119" s="107"/>
      <c r="AA119" s="107"/>
      <c r="AC119" s="110"/>
      <c r="AD119" s="107"/>
      <c r="AE119" s="175"/>
      <c r="AF119" s="158"/>
      <c r="AG119" s="158"/>
      <c r="AH119" s="158"/>
      <c r="AI119" s="158"/>
      <c r="AM119" s="123"/>
      <c r="AN119" s="170"/>
      <c r="AO119" s="113"/>
      <c r="AP119" s="107"/>
      <c r="AQ119" s="107"/>
      <c r="AR119" s="107"/>
      <c r="AS119" s="107"/>
      <c r="AT119" s="107"/>
      <c r="AU119" s="200"/>
      <c r="AV119" s="114"/>
      <c r="AW119" s="107"/>
      <c r="BD119" s="290"/>
      <c r="BE119" s="298"/>
      <c r="BF119" s="298"/>
      <c r="BG119" s="298"/>
      <c r="BI119" s="110"/>
      <c r="BK119" s="316"/>
      <c r="BL119" s="577"/>
      <c r="BM119" s="107"/>
      <c r="BN119" s="108"/>
      <c r="BP119" s="107"/>
      <c r="BR119" s="107"/>
      <c r="BS119" s="107"/>
      <c r="BU119" s="107"/>
      <c r="BV119" s="107"/>
      <c r="BW119" s="554"/>
      <c r="BY119" s="680"/>
      <c r="BZ119" s="39">
        <f t="shared" si="72"/>
        <v>0</v>
      </c>
      <c r="CA119" s="51" t="e">
        <f t="shared" si="73"/>
        <v>#DIV/0!</v>
      </c>
      <c r="CC119" s="39"/>
    </row>
    <row r="120" spans="1:251" s="79" customFormat="1" ht="18" customHeight="1">
      <c r="A120" s="53" t="s">
        <v>182</v>
      </c>
      <c r="B120" s="326" t="s">
        <v>78</v>
      </c>
      <c r="C120" s="326" t="s">
        <v>78</v>
      </c>
      <c r="D120" s="326" t="s">
        <v>78</v>
      </c>
      <c r="E120" s="326" t="s">
        <v>78</v>
      </c>
      <c r="F120" s="326" t="s">
        <v>78</v>
      </c>
      <c r="G120" s="326" t="s">
        <v>78</v>
      </c>
      <c r="H120" s="326" t="s">
        <v>78</v>
      </c>
      <c r="I120" s="326" t="s">
        <v>78</v>
      </c>
      <c r="J120" s="326" t="s">
        <v>78</v>
      </c>
      <c r="K120" s="326" t="s">
        <v>78</v>
      </c>
      <c r="L120" s="10">
        <f>'FY 2013 by Agency'!L120*Inflator!$E$6</f>
        <v>0</v>
      </c>
      <c r="M120" s="326" t="s">
        <v>78</v>
      </c>
      <c r="N120" s="326" t="s">
        <v>78</v>
      </c>
      <c r="O120" s="10">
        <f>'FY 2013 by Agency'!O120*Inflator!$E$7</f>
        <v>0</v>
      </c>
      <c r="P120" s="24">
        <v>0</v>
      </c>
      <c r="Q120" s="37" t="s">
        <v>78</v>
      </c>
      <c r="R120" s="52">
        <f>'FY 2013 by Agency'!R120*Inflator!$E$8</f>
        <v>0</v>
      </c>
      <c r="S120" s="24">
        <v>0</v>
      </c>
      <c r="T120" s="37" t="s">
        <v>78</v>
      </c>
      <c r="U120" s="52">
        <f>'FY 2013 by Agency'!U120*Inflator!$E$9</f>
        <v>0</v>
      </c>
      <c r="V120" s="24">
        <v>0</v>
      </c>
      <c r="W120" s="37" t="s">
        <v>78</v>
      </c>
      <c r="X120" s="52">
        <f>'FY 2013 by Agency'!X120*Inflator!$E$10</f>
        <v>2662.0724039377583</v>
      </c>
      <c r="Y120" s="40">
        <f>X120-U120</f>
        <v>2662.0724039377583</v>
      </c>
      <c r="Z120" s="145" t="s">
        <v>127</v>
      </c>
      <c r="AA120" s="52">
        <f>'FY 2013 by Agency'!AA120*Inflator!$E$11</f>
        <v>5295.6406498885008</v>
      </c>
      <c r="AB120" s="39">
        <f t="shared" ref="AB120:AB132" si="118">AA120-X120</f>
        <v>2633.5682459507425</v>
      </c>
      <c r="AC120" s="58">
        <f t="shared" ref="AC120:AC129" si="119">AB120/X120</f>
        <v>0.98929249334283609</v>
      </c>
      <c r="AD120" s="52" t="e">
        <f>'FY 2013 by Agency'!AD120*Inflator!#REF!</f>
        <v>#REF!</v>
      </c>
      <c r="AE120" s="52">
        <f>'FY 2013 by Agency'!AE120*Inflator!$B$8</f>
        <v>0</v>
      </c>
      <c r="AF120" s="52">
        <f>'FY 2013 by Agency'!AF120*Inflator!$E$12</f>
        <v>876.11340852130331</v>
      </c>
      <c r="AG120" s="52">
        <f t="shared" ref="AG120:AG133" si="120">AF120-AA120</f>
        <v>-4419.5272413671973</v>
      </c>
      <c r="AH120" s="58">
        <f t="shared" ref="AH120:AH133" si="121">AG120/AA120</f>
        <v>-0.83455950536603163</v>
      </c>
      <c r="AI120" s="52">
        <f>'FY 2013 by Agency'!AI120*Inflator!$B$8</f>
        <v>0</v>
      </c>
      <c r="AJ120" s="52">
        <f>'FY 2013 by Agency'!AJ120*Inflator!$B$8</f>
        <v>0</v>
      </c>
      <c r="AK120" s="52">
        <f>'FY 2013 by Agency'!AK120</f>
        <v>795</v>
      </c>
      <c r="AL120" s="52">
        <f>'FY 2013 by Agency'!AL120</f>
        <v>0</v>
      </c>
      <c r="AM120" s="52">
        <f>'FY 2013 by Agency'!AM120</f>
        <v>795</v>
      </c>
      <c r="AN120" s="52">
        <f>'FY 2013 by Agency'!AN120</f>
        <v>2510</v>
      </c>
      <c r="AO120" s="52">
        <f>'FY 2013 by Agency'!AO120</f>
        <v>2510</v>
      </c>
      <c r="AP120" s="52">
        <f>'FY 2013 by Agency'!AP120</f>
        <v>31</v>
      </c>
      <c r="AQ120" s="52">
        <f>'FY 2013 by Agency'!AQ120</f>
        <v>17</v>
      </c>
      <c r="AR120" s="52">
        <f>'FY 2013 by Agency'!AR120</f>
        <v>48</v>
      </c>
      <c r="AS120" s="52">
        <f>'FY 2013 by Agency'!AS120</f>
        <v>1262.3665699999999</v>
      </c>
      <c r="AT120" s="52" t="e">
        <f t="shared" ref="AT120:AT132" si="122">AR120-AD120</f>
        <v>#REF!</v>
      </c>
      <c r="AU120" s="58" t="e">
        <f t="shared" ref="AU120:AU133" si="123">AT120/AD120</f>
        <v>#REF!</v>
      </c>
      <c r="AV120" s="52">
        <f t="shared" ref="AV120:AV133" si="124">AS120-AF120</f>
        <v>386.2531614786966</v>
      </c>
      <c r="AW120" s="58">
        <f t="shared" ref="AW120:AW133" si="125">AV120/AF120</f>
        <v>0.44087119055809382</v>
      </c>
      <c r="AX120" s="279" t="s">
        <v>341</v>
      </c>
      <c r="AY120" s="80">
        <v>1273</v>
      </c>
      <c r="AZ120" s="78">
        <f t="shared" ref="AZ120:AZ131" si="126">+AY120-AO120</f>
        <v>-1237</v>
      </c>
      <c r="BA120" s="78">
        <f t="shared" ref="BA120:BA131" si="127">+AZ120+AV120</f>
        <v>-850.7468385213034</v>
      </c>
      <c r="BB120" s="78">
        <f t="shared" ref="BB120:BB131" si="128">+AZ120+AS120</f>
        <v>25.366569999999911</v>
      </c>
      <c r="BC120" s="241">
        <f t="shared" ref="BC120:BC131" si="129">+BB120/AF120-1</f>
        <v>-0.97104647668523492</v>
      </c>
      <c r="BD120" s="291">
        <v>30.512</v>
      </c>
      <c r="BE120" s="51">
        <f>BD120/AY120</f>
        <v>2.3968578161822466E-2</v>
      </c>
      <c r="BF120" s="299">
        <v>34</v>
      </c>
      <c r="BG120" s="299"/>
      <c r="BI120" s="78">
        <v>1227</v>
      </c>
      <c r="BJ120" s="78">
        <f>BI120-AY120</f>
        <v>-46</v>
      </c>
      <c r="BK120" s="78">
        <f>BI120+AP120+AQ120</f>
        <v>1275</v>
      </c>
      <c r="BL120" s="573">
        <f>'FY 2013 by Agency'!AS120*Inflator!$E$13</f>
        <v>1308.9782132621301</v>
      </c>
      <c r="BM120" s="62">
        <f>BL120-AF120</f>
        <v>432.8648047408268</v>
      </c>
      <c r="BN120" s="579">
        <f t="shared" ref="BN120:BN132" si="130">BM120/AF120</f>
        <v>0.49407394126225312</v>
      </c>
      <c r="BO120" s="52">
        <f>'FY 2013 by Agency'!AX120*Inflator!$E$13</f>
        <v>1272.3057674702475</v>
      </c>
      <c r="BP120" s="52">
        <f t="shared" si="74"/>
        <v>396.19235894894416</v>
      </c>
      <c r="BQ120" s="51">
        <f t="shared" si="75"/>
        <v>0.4522158376934719</v>
      </c>
      <c r="BR120" s="52">
        <f>'FY 2013 by Agency'!BE120*Inflator!$E$14</f>
        <v>1939.9749178859363</v>
      </c>
      <c r="BS120" s="52">
        <f t="shared" si="76"/>
        <v>667.66915041568882</v>
      </c>
      <c r="BT120" s="51">
        <f t="shared" si="77"/>
        <v>0.52477098468493899</v>
      </c>
      <c r="BU120" s="62">
        <f>'FY 2013 by Agency'!BL120*Inflator!$E$14</f>
        <v>1945.0480740519561</v>
      </c>
      <c r="BV120" s="62">
        <f>BU120-BL120</f>
        <v>636.06986078982595</v>
      </c>
      <c r="BW120" s="487">
        <v>1803</v>
      </c>
      <c r="BX120" s="39">
        <f>'FY 2013 by Agency'!BW120*Inflator!E15</f>
        <v>1803</v>
      </c>
      <c r="BY120" s="681">
        <v>2303</v>
      </c>
      <c r="BZ120" s="39">
        <f t="shared" si="72"/>
        <v>-136.97491788593629</v>
      </c>
      <c r="CA120" s="51">
        <f t="shared" si="73"/>
        <v>-7.060654064290843E-2</v>
      </c>
      <c r="CC120" s="39"/>
    </row>
    <row r="121" spans="1:251" ht="18" customHeight="1">
      <c r="A121" s="53" t="s">
        <v>132</v>
      </c>
      <c r="B121" s="322">
        <f>'FY 2013 by Agency'!B121*Inflator!$E$2</f>
        <v>824861.79027113249</v>
      </c>
      <c r="C121" s="322">
        <f>'FY 2013 by Agency'!C121*Inflator!$E$3</f>
        <v>974275.40030911902</v>
      </c>
      <c r="D121" s="322">
        <f t="shared" si="78"/>
        <v>149413.61003798654</v>
      </c>
      <c r="E121" s="351">
        <f t="shared" si="79"/>
        <v>0.18113775156062717</v>
      </c>
      <c r="F121" s="10">
        <f>'FY 2013 by Agency'!F121*Inflator!$E$4</f>
        <v>965542.92881614005</v>
      </c>
      <c r="G121" s="10">
        <f t="shared" si="80"/>
        <v>-8732.471492978977</v>
      </c>
      <c r="H121" s="14">
        <f t="shared" si="81"/>
        <v>-8.9630421646778001E-3</v>
      </c>
      <c r="I121" s="10">
        <f>'FY 2013 by Agency'!I121*Inflator!$E$5</f>
        <v>907969.86240238021</v>
      </c>
      <c r="J121" s="10">
        <f t="shared" si="82"/>
        <v>-57573.066413759836</v>
      </c>
      <c r="K121" s="14">
        <f t="shared" si="83"/>
        <v>-5.962766097241335E-2</v>
      </c>
      <c r="L121" s="10">
        <f>'FY 2013 by Agency'!L121*Inflator!$E$6</f>
        <v>957844.44565612497</v>
      </c>
      <c r="M121" s="10">
        <f t="shared" si="84"/>
        <v>49874.583253744757</v>
      </c>
      <c r="N121" s="14">
        <f t="shared" si="85"/>
        <v>5.4929778309802647E-2</v>
      </c>
      <c r="O121" s="10">
        <f>'FY 2013 by Agency'!O121*Inflator!$E$7</f>
        <v>943370.19852164714</v>
      </c>
      <c r="P121" s="52">
        <f t="shared" ref="P121:P127" si="131">O121-L121</f>
        <v>-14474.247134477831</v>
      </c>
      <c r="Q121" s="72">
        <f>P121/L121</f>
        <v>-1.5111271146499105E-2</v>
      </c>
      <c r="R121" s="52">
        <f>'FY 2013 by Agency'!R121*Inflator!$E$8</f>
        <v>944915.05566870328</v>
      </c>
      <c r="S121" s="69">
        <f t="shared" ref="S121:S133" si="132">R121-O121</f>
        <v>1544.8571470561437</v>
      </c>
      <c r="T121" s="72">
        <f t="shared" ref="T121:T126" si="133">S121/O121</f>
        <v>1.6375937563822614E-3</v>
      </c>
      <c r="U121" s="52">
        <f>'FY 2013 by Agency'!U121*Inflator!$E$9</f>
        <v>932642.84084880631</v>
      </c>
      <c r="V121" s="69">
        <f>U121-R121</f>
        <v>-12272.214819896966</v>
      </c>
      <c r="W121" s="72">
        <f t="shared" ref="W121:W126" si="134">V121/R121</f>
        <v>-1.2987638144057394E-2</v>
      </c>
      <c r="X121" s="52">
        <f>'FY 2013 by Agency'!X121*Inflator!$E$10</f>
        <v>943340.48015242943</v>
      </c>
      <c r="Y121" s="40">
        <f t="shared" ref="Y121:Y131" si="135">X121-U121</f>
        <v>10697.639303623117</v>
      </c>
      <c r="Z121" s="72">
        <f t="shared" ref="Z121:Z126" si="136">Y121/U121</f>
        <v>1.1470242235373943E-2</v>
      </c>
      <c r="AA121" s="52">
        <f>'FY 2013 by Agency'!AA121*Inflator!$E$11</f>
        <v>612462.70786874811</v>
      </c>
      <c r="AB121" s="39">
        <f t="shared" si="118"/>
        <v>-330877.77228368132</v>
      </c>
      <c r="AC121" s="58">
        <f t="shared" si="119"/>
        <v>-0.35075116487126318</v>
      </c>
      <c r="AD121" s="52" t="e">
        <f>'FY 2013 by Agency'!AD121*Inflator!#REF!</f>
        <v>#REF!</v>
      </c>
      <c r="AE121" s="52">
        <f>'FY 2013 by Agency'!AE121*Inflator!$B$8</f>
        <v>0</v>
      </c>
      <c r="AF121" s="52">
        <f>'FY 2013 by Agency'!AF121*Inflator!$E$12</f>
        <v>556569.40601503768</v>
      </c>
      <c r="AG121" s="52">
        <f t="shared" si="120"/>
        <v>-55893.301853710436</v>
      </c>
      <c r="AH121" s="58">
        <f t="shared" si="121"/>
        <v>-9.1259926744288358E-2</v>
      </c>
      <c r="AI121" s="52">
        <f>'FY 2013 by Agency'!AI121*Inflator!$B$8</f>
        <v>0</v>
      </c>
      <c r="AJ121" s="52">
        <f>'FY 2013 by Agency'!AJ121*Inflator!$B$8</f>
        <v>0</v>
      </c>
      <c r="AK121" s="52">
        <f>'FY 2013 by Agency'!AK121</f>
        <v>550548</v>
      </c>
      <c r="AL121" s="52">
        <f>'FY 2013 by Agency'!AL121</f>
        <v>0</v>
      </c>
      <c r="AM121" s="52">
        <f>'FY 2013 by Agency'!AM121</f>
        <v>550548</v>
      </c>
      <c r="AN121" s="52">
        <f>'FY 2013 by Agency'!AN121</f>
        <v>563538</v>
      </c>
      <c r="AO121" s="52">
        <f>'FY 2013 by Agency'!AO121</f>
        <v>568044</v>
      </c>
      <c r="AP121" s="52">
        <f>'FY 2013 by Agency'!AP121</f>
        <v>0</v>
      </c>
      <c r="AQ121" s="52">
        <f>'FY 2013 by Agency'!AQ121</f>
        <v>0</v>
      </c>
      <c r="AR121" s="52">
        <f>'FY 2013 by Agency'!AR121</f>
        <v>0</v>
      </c>
      <c r="AS121" s="52">
        <f>'FY 2013 by Agency'!AS121</f>
        <v>589196.84681000002</v>
      </c>
      <c r="AT121" s="52" t="e">
        <f t="shared" si="122"/>
        <v>#REF!</v>
      </c>
      <c r="AU121" s="58" t="e">
        <f t="shared" si="123"/>
        <v>#REF!</v>
      </c>
      <c r="AV121" s="52">
        <f t="shared" si="124"/>
        <v>32627.440794962342</v>
      </c>
      <c r="AW121" s="58">
        <f t="shared" si="125"/>
        <v>5.8622411584873919E-2</v>
      </c>
      <c r="AX121" s="279" t="s">
        <v>334</v>
      </c>
      <c r="AY121" s="78">
        <v>568044</v>
      </c>
      <c r="AZ121" s="78">
        <f t="shared" si="126"/>
        <v>0</v>
      </c>
      <c r="BA121" s="78">
        <f t="shared" si="127"/>
        <v>32627.440794962342</v>
      </c>
      <c r="BB121" s="78">
        <f t="shared" si="128"/>
        <v>589196.84681000002</v>
      </c>
      <c r="BC121" s="241">
        <f t="shared" si="129"/>
        <v>5.8622411584873912E-2</v>
      </c>
      <c r="BD121" s="291">
        <v>6539.0619999999999</v>
      </c>
      <c r="BE121" s="51">
        <f t="shared" ref="BE121:BE131" si="137">BD121/AY121</f>
        <v>1.1511541359472154E-2</v>
      </c>
      <c r="BF121" s="299">
        <v>11010</v>
      </c>
      <c r="BG121" s="299"/>
      <c r="BI121" s="65">
        <v>549309</v>
      </c>
      <c r="BJ121" s="78">
        <f t="shared" ref="BJ121:BJ133" si="138">BI121-AY121</f>
        <v>-18735</v>
      </c>
      <c r="BK121" s="78">
        <f t="shared" ref="BK121:BK132" si="139">BI121+AP121+AQ121</f>
        <v>549309</v>
      </c>
      <c r="BL121" s="573">
        <f>'FY 2013 by Agency'!AS121*Inflator!$E$13</f>
        <v>610952.36053108948</v>
      </c>
      <c r="BM121" s="62">
        <f t="shared" ref="BM121:BM133" si="140">BL121-AF121</f>
        <v>54382.954516051803</v>
      </c>
      <c r="BN121" s="579">
        <f t="shared" si="130"/>
        <v>9.7711002308636524E-2</v>
      </c>
      <c r="BO121" s="52">
        <f>'FY 2013 by Agency'!AX121*Inflator!$E$13</f>
        <v>580064.6267927984</v>
      </c>
      <c r="BP121" s="52">
        <f t="shared" si="74"/>
        <v>23495.220777760725</v>
      </c>
      <c r="BQ121" s="51">
        <f t="shared" si="75"/>
        <v>4.2214359114676026E-2</v>
      </c>
      <c r="BR121" s="52">
        <f>'FY 2013 by Agency'!BE121*Inflator!$E$14</f>
        <v>632619.53000895795</v>
      </c>
      <c r="BS121" s="52">
        <f t="shared" si="76"/>
        <v>52554.903216159553</v>
      </c>
      <c r="BT121" s="51">
        <f t="shared" si="77"/>
        <v>9.0601806744772237E-2</v>
      </c>
      <c r="BU121" s="52">
        <f>'FY 2013 by Agency'!BL121*Inflator!$E$14</f>
        <v>632619.53000895795</v>
      </c>
      <c r="BV121" s="62">
        <f t="shared" ref="BV121:BV133" si="141">BU121-BL121</f>
        <v>21667.169477868476</v>
      </c>
      <c r="BW121" s="39">
        <v>657784</v>
      </c>
      <c r="BX121" s="39">
        <f>'FY 2013 by Agency'!BW121*Inflator!E15</f>
        <v>702817</v>
      </c>
      <c r="BY121" s="681">
        <v>657984</v>
      </c>
      <c r="BZ121" s="39">
        <f t="shared" si="72"/>
        <v>25164.469991042046</v>
      </c>
      <c r="CA121" s="51">
        <f t="shared" si="73"/>
        <v>3.9778206010626503E-2</v>
      </c>
      <c r="CC121" s="39"/>
    </row>
    <row r="122" spans="1:251" ht="18" customHeight="1">
      <c r="A122" s="53" t="s">
        <v>19</v>
      </c>
      <c r="B122" s="322">
        <f>'FY 2013 by Agency'!B122*Inflator!$E$2</f>
        <v>14497.049441786285</v>
      </c>
      <c r="C122" s="322">
        <f>'FY 2013 by Agency'!C122*Inflator!$E$3</f>
        <v>262.59659969088102</v>
      </c>
      <c r="D122" s="322">
        <f t="shared" si="78"/>
        <v>-14234.452842095403</v>
      </c>
      <c r="E122" s="351">
        <f t="shared" si="79"/>
        <v>-0.98188620375854041</v>
      </c>
      <c r="F122" s="10">
        <f>'FY 2013 by Agency'!F122*Inflator!$E$4</f>
        <v>0</v>
      </c>
      <c r="G122" s="10">
        <f t="shared" si="80"/>
        <v>-262.59659969088102</v>
      </c>
      <c r="H122" s="14">
        <f t="shared" si="81"/>
        <v>-1</v>
      </c>
      <c r="I122" s="10">
        <f>'FY 2013 by Agency'!I122*Inflator!$E$5</f>
        <v>0</v>
      </c>
      <c r="J122" s="10">
        <f t="shared" si="82"/>
        <v>0</v>
      </c>
      <c r="K122" s="326" t="s">
        <v>78</v>
      </c>
      <c r="L122" s="10">
        <f>'FY 2013 by Agency'!L122*Inflator!$E$6</f>
        <v>0</v>
      </c>
      <c r="M122" s="10">
        <f t="shared" si="84"/>
        <v>0</v>
      </c>
      <c r="N122" s="326" t="s">
        <v>78</v>
      </c>
      <c r="O122" s="10">
        <f>'FY 2013 by Agency'!O122*Inflator!$E$7</f>
        <v>10940.340021119322</v>
      </c>
      <c r="P122" s="52">
        <f t="shared" si="131"/>
        <v>10940.340021119322</v>
      </c>
      <c r="Q122" s="70" t="s">
        <v>78</v>
      </c>
      <c r="R122" s="52">
        <f>'FY 2013 by Agency'!R122*Inflator!$E$8</f>
        <v>17798.553292600136</v>
      </c>
      <c r="S122" s="69">
        <f t="shared" si="132"/>
        <v>6858.213271480814</v>
      </c>
      <c r="T122" s="72">
        <f t="shared" si="133"/>
        <v>0.62687386847590321</v>
      </c>
      <c r="U122" s="52">
        <f>'FY 2013 by Agency'!U122*Inflator!$E$9</f>
        <v>16381.604774535808</v>
      </c>
      <c r="V122" s="69">
        <f t="shared" ref="V122:V127" si="142">U122-R122</f>
        <v>-1416.9485180643278</v>
      </c>
      <c r="W122" s="72">
        <f t="shared" si="134"/>
        <v>-7.961031971364961E-2</v>
      </c>
      <c r="X122" s="52">
        <f>'FY 2013 by Agency'!X122*Inflator!$E$10</f>
        <v>6435.5897110193719</v>
      </c>
      <c r="Y122" s="40">
        <f t="shared" si="135"/>
        <v>-9946.0150635164355</v>
      </c>
      <c r="Z122" s="72">
        <f t="shared" si="136"/>
        <v>-0.60714534384182561</v>
      </c>
      <c r="AA122" s="52">
        <f>'FY 2013 by Agency'!AA122*Inflator!$E$11</f>
        <v>0</v>
      </c>
      <c r="AB122" s="39">
        <f t="shared" si="118"/>
        <v>-6435.5897110193719</v>
      </c>
      <c r="AC122" s="58">
        <f t="shared" si="119"/>
        <v>-1</v>
      </c>
      <c r="AD122" s="52" t="e">
        <f>'FY 2013 by Agency'!AD122*Inflator!#REF!</f>
        <v>#REF!</v>
      </c>
      <c r="AE122" s="52">
        <f>'FY 2013 by Agency'!AE122*Inflator!$B$8</f>
        <v>0</v>
      </c>
      <c r="AF122" s="52">
        <f>'FY 2013 by Agency'!AF122*Inflator!$E$12</f>
        <v>3193.6090225563912</v>
      </c>
      <c r="AG122" s="52">
        <f t="shared" si="120"/>
        <v>3193.6090225563912</v>
      </c>
      <c r="AH122" s="58" t="e">
        <f t="shared" si="121"/>
        <v>#DIV/0!</v>
      </c>
      <c r="AI122" s="52">
        <f>'FY 2013 by Agency'!AI122*Inflator!$B$8</f>
        <v>0</v>
      </c>
      <c r="AJ122" s="52">
        <f>'FY 2013 by Agency'!AJ122*Inflator!$B$8</f>
        <v>0</v>
      </c>
      <c r="AK122" s="52">
        <f>'FY 2013 by Agency'!AK122</f>
        <v>3000</v>
      </c>
      <c r="AL122" s="52">
        <f>'FY 2013 by Agency'!AL122</f>
        <v>0</v>
      </c>
      <c r="AM122" s="52">
        <f>'FY 2013 by Agency'!AM122</f>
        <v>3000</v>
      </c>
      <c r="AN122" s="52">
        <f>'FY 2013 by Agency'!AN122</f>
        <v>3000</v>
      </c>
      <c r="AO122" s="52">
        <f>'FY 2013 by Agency'!AO122</f>
        <v>3000</v>
      </c>
      <c r="AP122" s="52">
        <f>'FY 2013 by Agency'!AP122</f>
        <v>0</v>
      </c>
      <c r="AQ122" s="52">
        <f>'FY 2013 by Agency'!AQ122</f>
        <v>0</v>
      </c>
      <c r="AR122" s="52">
        <f>'FY 2013 by Agency'!AR122</f>
        <v>0</v>
      </c>
      <c r="AS122" s="52">
        <f>'FY 2013 by Agency'!AS122</f>
        <v>3000</v>
      </c>
      <c r="AT122" s="52" t="e">
        <f t="shared" si="122"/>
        <v>#REF!</v>
      </c>
      <c r="AU122" s="58" t="e">
        <f t="shared" si="123"/>
        <v>#REF!</v>
      </c>
      <c r="AV122" s="52">
        <f t="shared" si="124"/>
        <v>-193.60902255639121</v>
      </c>
      <c r="AW122" s="58">
        <f t="shared" si="125"/>
        <v>-6.0623896409652808E-2</v>
      </c>
      <c r="AX122" s="279" t="s">
        <v>335</v>
      </c>
      <c r="AY122" s="65">
        <v>3000</v>
      </c>
      <c r="AZ122" s="78">
        <f t="shared" si="126"/>
        <v>0</v>
      </c>
      <c r="BA122" s="78">
        <f t="shared" si="127"/>
        <v>-193.60902255639121</v>
      </c>
      <c r="BB122" s="78">
        <f t="shared" si="128"/>
        <v>3000</v>
      </c>
      <c r="BC122" s="241">
        <f t="shared" si="129"/>
        <v>-6.0623896409652822E-2</v>
      </c>
      <c r="BD122" s="291">
        <v>0</v>
      </c>
      <c r="BE122" s="51">
        <f t="shared" si="137"/>
        <v>0</v>
      </c>
      <c r="BF122" s="299"/>
      <c r="BG122" s="299"/>
      <c r="BI122" s="65">
        <v>3000</v>
      </c>
      <c r="BJ122" s="78">
        <f t="shared" si="138"/>
        <v>0</v>
      </c>
      <c r="BK122" s="78">
        <f t="shared" si="139"/>
        <v>3000</v>
      </c>
      <c r="BL122" s="573">
        <f>'FY 2013 by Agency'!AS122*Inflator!$E$13</f>
        <v>3110.772047604517</v>
      </c>
      <c r="BM122" s="62">
        <f t="shared" si="140"/>
        <v>-82.836974951874254</v>
      </c>
      <c r="BN122" s="579">
        <f t="shared" si="130"/>
        <v>-2.5938358254500943E-2</v>
      </c>
      <c r="BO122" s="52">
        <f>'FY 2013 by Agency'!AX122*Inflator!$E$13</f>
        <v>3110.772047604517</v>
      </c>
      <c r="BP122" s="52">
        <f t="shared" si="74"/>
        <v>-82.836974951874254</v>
      </c>
      <c r="BQ122" s="51">
        <f t="shared" si="75"/>
        <v>-2.5938358254500943E-2</v>
      </c>
      <c r="BR122" s="52">
        <f>'FY 2013 by Agency'!BE122*Inflator!$E$14</f>
        <v>3043.8936996118246</v>
      </c>
      <c r="BS122" s="52">
        <f t="shared" si="76"/>
        <v>-66.878347992692397</v>
      </c>
      <c r="BT122" s="51">
        <f t="shared" si="77"/>
        <v>-2.1498954911914159E-2</v>
      </c>
      <c r="BU122" s="52">
        <f>'FY 2013 by Agency'!BL122*Inflator!$E$14</f>
        <v>3043.8936996118246</v>
      </c>
      <c r="BV122" s="62">
        <f t="shared" si="141"/>
        <v>-66.878347992692397</v>
      </c>
      <c r="BW122" s="39">
        <v>6407</v>
      </c>
      <c r="BX122" s="39">
        <f>'FY 2013 by Agency'!BW122*Inflator!E15</f>
        <v>6407</v>
      </c>
      <c r="BY122" s="681">
        <v>6407</v>
      </c>
      <c r="BZ122" s="39">
        <f t="shared" si="72"/>
        <v>3363.1063003881754</v>
      </c>
      <c r="CA122" s="51">
        <f t="shared" si="73"/>
        <v>1.1048698253874827</v>
      </c>
      <c r="CC122" s="39"/>
    </row>
    <row r="123" spans="1:251" ht="18" customHeight="1">
      <c r="A123" s="59" t="s">
        <v>178</v>
      </c>
      <c r="B123" s="322">
        <f>'FY 2013 by Agency'!B123*Inflator!$E$2</f>
        <v>31970.7360446571</v>
      </c>
      <c r="C123" s="322">
        <f>'FY 2013 by Agency'!C123*Inflator!$E$3</f>
        <v>33446.928902627515</v>
      </c>
      <c r="D123" s="322">
        <f t="shared" si="78"/>
        <v>1476.1928579704145</v>
      </c>
      <c r="E123" s="326" t="s">
        <v>78</v>
      </c>
      <c r="F123" s="10">
        <f>'FY 2013 by Agency'!F123*Inflator!$E$4</f>
        <v>34519.38561096308</v>
      </c>
      <c r="G123" s="10">
        <f t="shared" si="80"/>
        <v>1072.4567083355651</v>
      </c>
      <c r="H123" s="14">
        <f t="shared" si="81"/>
        <v>3.2064429934890532E-2</v>
      </c>
      <c r="I123" s="10">
        <f>'FY 2013 by Agency'!I123*Inflator!$E$5</f>
        <v>34472.830048345117</v>
      </c>
      <c r="J123" s="10">
        <f t="shared" si="82"/>
        <v>-46.555562617963005</v>
      </c>
      <c r="K123" s="14">
        <f t="shared" si="83"/>
        <v>-1.3486787726365945E-3</v>
      </c>
      <c r="L123" s="10">
        <f>'FY 2013 by Agency'!L123*Inflator!$E$6</f>
        <v>42634.956743002542</v>
      </c>
      <c r="M123" s="10">
        <f t="shared" si="84"/>
        <v>8162.1266946574251</v>
      </c>
      <c r="N123" s="14">
        <f t="shared" si="85"/>
        <v>0.2367698469551458</v>
      </c>
      <c r="O123" s="10">
        <f>'FY 2013 by Agency'!O123*Inflator!$E$7</f>
        <v>52622.951777543109</v>
      </c>
      <c r="P123" s="52">
        <f t="shared" si="131"/>
        <v>9987.9950345405668</v>
      </c>
      <c r="Q123" s="72">
        <f>P123/L123</f>
        <v>0.23426774172064443</v>
      </c>
      <c r="R123" s="52">
        <f>'FY 2013 by Agency'!R123*Inflator!$E$8</f>
        <v>77995.980312287837</v>
      </c>
      <c r="S123" s="69">
        <f t="shared" si="132"/>
        <v>25373.028534744728</v>
      </c>
      <c r="T123" s="72">
        <f t="shared" si="133"/>
        <v>0.48216657708609745</v>
      </c>
      <c r="U123" s="52">
        <f>'FY 2013 by Agency'!U123*Inflator!$E$9</f>
        <v>67033.887267904502</v>
      </c>
      <c r="V123" s="69">
        <f t="shared" si="142"/>
        <v>-10962.093044383335</v>
      </c>
      <c r="W123" s="72">
        <f t="shared" si="134"/>
        <v>-0.14054689742333193</v>
      </c>
      <c r="X123" s="52">
        <f>'FY 2013 by Agency'!X123*Inflator!$E$10</f>
        <v>111290.16513178789</v>
      </c>
      <c r="Y123" s="40">
        <f t="shared" si="135"/>
        <v>44256.277863883384</v>
      </c>
      <c r="Z123" s="72">
        <f t="shared" si="136"/>
        <v>0.66020754080709676</v>
      </c>
      <c r="AA123" s="52">
        <f>'FY 2013 by Agency'!AA123*Inflator!$E$11</f>
        <v>138681.48391207392</v>
      </c>
      <c r="AB123" s="39">
        <f t="shared" si="118"/>
        <v>27391.318780286034</v>
      </c>
      <c r="AC123" s="58">
        <f t="shared" si="119"/>
        <v>0.24612524159569454</v>
      </c>
      <c r="AD123" s="52" t="e">
        <f>'FY 2013 by Agency'!AD123*Inflator!#REF!</f>
        <v>#REF!</v>
      </c>
      <c r="AE123" s="52">
        <f>'FY 2013 by Agency'!AE123*Inflator!$B$8</f>
        <v>0</v>
      </c>
      <c r="AF123" s="52">
        <f>'FY 2013 by Agency'!AF123*Inflator!$E$12</f>
        <v>116952.09147869676</v>
      </c>
      <c r="AG123" s="52">
        <f t="shared" si="120"/>
        <v>-21729.392433377157</v>
      </c>
      <c r="AH123" s="58">
        <f t="shared" si="121"/>
        <v>-0.15668560661749126</v>
      </c>
      <c r="AI123" s="52">
        <f>'FY 2013 by Agency'!AI123*Inflator!$B$8</f>
        <v>0</v>
      </c>
      <c r="AJ123" s="52">
        <f>'FY 2013 by Agency'!AJ123*Inflator!$B$8</f>
        <v>0</v>
      </c>
      <c r="AK123" s="52">
        <f>'FY 2013 by Agency'!AK123</f>
        <v>116890</v>
      </c>
      <c r="AL123" s="52">
        <f>'FY 2013 by Agency'!AL123</f>
        <v>0</v>
      </c>
      <c r="AM123" s="52">
        <f>'FY 2013 by Agency'!AM123</f>
        <v>116890</v>
      </c>
      <c r="AN123" s="52">
        <f>'FY 2013 by Agency'!AN123</f>
        <v>106553</v>
      </c>
      <c r="AO123" s="52">
        <f>'FY 2013 by Agency'!AO123</f>
        <v>116879</v>
      </c>
      <c r="AP123" s="52">
        <f>'FY 2013 by Agency'!AP123</f>
        <v>0</v>
      </c>
      <c r="AQ123" s="52">
        <f>'FY 2013 by Agency'!AQ123</f>
        <v>0</v>
      </c>
      <c r="AR123" s="52">
        <f>'FY 2013 by Agency'!AR123</f>
        <v>0</v>
      </c>
      <c r="AS123" s="52">
        <f>'FY 2013 by Agency'!AS123</f>
        <v>101165.7656</v>
      </c>
      <c r="AT123" s="52" t="e">
        <f t="shared" si="122"/>
        <v>#REF!</v>
      </c>
      <c r="AU123" s="58" t="e">
        <f t="shared" si="123"/>
        <v>#REF!</v>
      </c>
      <c r="AV123" s="52">
        <f t="shared" si="124"/>
        <v>-15786.325878696764</v>
      </c>
      <c r="AW123" s="58">
        <f t="shared" si="125"/>
        <v>-0.13498113354879421</v>
      </c>
      <c r="AX123" s="279" t="s">
        <v>336</v>
      </c>
      <c r="AY123" s="65">
        <v>126138.52687</v>
      </c>
      <c r="AZ123" s="78">
        <f t="shared" si="126"/>
        <v>9259.5268700000015</v>
      </c>
      <c r="BA123" s="78">
        <f t="shared" si="127"/>
        <v>-6526.799008696762</v>
      </c>
      <c r="BB123" s="78">
        <f t="shared" si="128"/>
        <v>110425.29247</v>
      </c>
      <c r="BC123" s="241">
        <f t="shared" si="129"/>
        <v>-5.5807458645454333E-2</v>
      </c>
      <c r="BD123" s="291">
        <v>9197.9950000000008</v>
      </c>
      <c r="BE123" s="51">
        <f t="shared" si="137"/>
        <v>7.2919790869918538E-2</v>
      </c>
      <c r="BF123" s="299">
        <v>8563</v>
      </c>
      <c r="BG123" s="299"/>
      <c r="BI123" s="219">
        <v>122698</v>
      </c>
      <c r="BJ123" s="78">
        <f t="shared" si="138"/>
        <v>-3440.5268700000015</v>
      </c>
      <c r="BK123" s="78">
        <f t="shared" si="139"/>
        <v>122698</v>
      </c>
      <c r="BL123" s="573">
        <f>'FY 2013 by Agency'!AS123*Inflator!$E$13</f>
        <v>104901.2119343302</v>
      </c>
      <c r="BM123" s="62">
        <f t="shared" si="140"/>
        <v>-12050.879544366559</v>
      </c>
      <c r="BN123" s="579">
        <f t="shared" si="130"/>
        <v>-0.1030411631976814</v>
      </c>
      <c r="BO123" s="52">
        <f>'FY 2013 by Agency'!AX123*Inflator!$E$13</f>
        <v>127228.502898993</v>
      </c>
      <c r="BP123" s="52">
        <f t="shared" si="74"/>
        <v>10276.411420296237</v>
      </c>
      <c r="BQ123" s="51">
        <f t="shared" si="75"/>
        <v>8.7868556178562415E-2</v>
      </c>
      <c r="BR123" s="52">
        <f>'FY 2013 by Agency'!BE123*Inflator!$E$14</f>
        <v>105452.65332935205</v>
      </c>
      <c r="BS123" s="52">
        <f t="shared" si="76"/>
        <v>-21775.849569640952</v>
      </c>
      <c r="BT123" s="51">
        <f t="shared" si="77"/>
        <v>-0.17115543351892498</v>
      </c>
      <c r="BU123" s="52">
        <f>'FY 2013 by Agency'!BL123*Inflator!$E$14</f>
        <v>105776.32069274411</v>
      </c>
      <c r="BV123" s="62">
        <f t="shared" si="141"/>
        <v>875.10875841390225</v>
      </c>
      <c r="BW123" s="39">
        <v>102506</v>
      </c>
      <c r="BX123" s="39">
        <f>'FY 2013 by Agency'!BW123*Inflator!E15</f>
        <v>106885</v>
      </c>
      <c r="BY123" s="681">
        <v>105816</v>
      </c>
      <c r="BZ123" s="39">
        <f t="shared" si="72"/>
        <v>-2946.6533293520479</v>
      </c>
      <c r="CA123" s="51">
        <f t="shared" si="73"/>
        <v>-2.7942903628503261E-2</v>
      </c>
      <c r="CC123" s="39"/>
    </row>
    <row r="124" spans="1:251" ht="18" customHeight="1">
      <c r="A124" s="57" t="s">
        <v>20</v>
      </c>
      <c r="B124" s="322">
        <f>'FY 2013 by Agency'!B124*Inflator!$E$2</f>
        <v>67655.155502392343</v>
      </c>
      <c r="C124" s="322">
        <f>'FY 2013 by Agency'!C124*Inflator!$E$3</f>
        <v>179705.35703245751</v>
      </c>
      <c r="D124" s="322">
        <f t="shared" si="78"/>
        <v>112050.20153006517</v>
      </c>
      <c r="E124" s="351">
        <f t="shared" si="79"/>
        <v>1.6561960533237261</v>
      </c>
      <c r="F124" s="10">
        <f>'FY 2013 by Agency'!F124*Inflator!$E$4</f>
        <v>126277.02702702703</v>
      </c>
      <c r="G124" s="10">
        <f t="shared" si="80"/>
        <v>-53428.330005430485</v>
      </c>
      <c r="H124" s="14">
        <f t="shared" si="81"/>
        <v>-0.29731072510977241</v>
      </c>
      <c r="I124" s="10">
        <f>'FY 2013 by Agency'!I124*Inflator!$E$5</f>
        <v>144415.63183339534</v>
      </c>
      <c r="J124" s="10">
        <f t="shared" si="82"/>
        <v>18138.604806368312</v>
      </c>
      <c r="K124" s="14">
        <f t="shared" si="83"/>
        <v>0.14364136718617959</v>
      </c>
      <c r="L124" s="10">
        <f>'FY 2013 by Agency'!L124*Inflator!$E$6</f>
        <v>200062.036350418</v>
      </c>
      <c r="M124" s="10">
        <f t="shared" si="84"/>
        <v>55646.40451702266</v>
      </c>
      <c r="N124" s="14">
        <f t="shared" si="85"/>
        <v>0.38532119972454898</v>
      </c>
      <c r="O124" s="10">
        <f>'FY 2013 by Agency'!O124*Inflator!$E$7</f>
        <v>225246.37521999294</v>
      </c>
      <c r="P124" s="52">
        <f t="shared" si="131"/>
        <v>25184.338869574945</v>
      </c>
      <c r="Q124" s="58">
        <f>P124/L124</f>
        <v>0.12588264784760764</v>
      </c>
      <c r="R124" s="52">
        <f>'FY 2013 by Agency'!R124*Inflator!$E$8</f>
        <v>262047.39307535641</v>
      </c>
      <c r="S124" s="52">
        <f t="shared" si="132"/>
        <v>36801.017855363461</v>
      </c>
      <c r="T124" s="58">
        <f t="shared" si="133"/>
        <v>0.16338117680881992</v>
      </c>
      <c r="U124" s="52">
        <f>'FY 2013 by Agency'!U124*Inflator!$E$9</f>
        <v>312263.35610079573</v>
      </c>
      <c r="V124" s="52">
        <f t="shared" si="142"/>
        <v>50215.963025439327</v>
      </c>
      <c r="W124" s="58">
        <f t="shared" si="134"/>
        <v>0.19162931726246493</v>
      </c>
      <c r="X124" s="52">
        <f>'FY 2013 by Agency'!X124*Inflator!$E$10</f>
        <v>341715.35408066056</v>
      </c>
      <c r="Y124" s="40">
        <f t="shared" si="135"/>
        <v>29451.997979864827</v>
      </c>
      <c r="Z124" s="58">
        <f t="shared" si="136"/>
        <v>9.4317816690466863E-2</v>
      </c>
      <c r="AA124" s="52">
        <f>'FY 2013 by Agency'!AA124*Inflator!$E$11</f>
        <v>396256.16247212497</v>
      </c>
      <c r="AB124" s="39">
        <f t="shared" si="118"/>
        <v>54540.808391464408</v>
      </c>
      <c r="AC124" s="58">
        <f t="shared" si="119"/>
        <v>0.15960889008982099</v>
      </c>
      <c r="AD124" s="52" t="e">
        <f>'FY 2013 by Agency'!AD124*Inflator!#REF!</f>
        <v>#REF!</v>
      </c>
      <c r="AE124" s="52">
        <f>'FY 2013 by Agency'!AE124*Inflator!$B$8</f>
        <v>0</v>
      </c>
      <c r="AF124" s="52">
        <f>'FY 2013 by Agency'!AF124*Inflator!$E$12</f>
        <v>400100.66102756897</v>
      </c>
      <c r="AG124" s="52">
        <f t="shared" si="120"/>
        <v>3844.4985554440063</v>
      </c>
      <c r="AH124" s="58">
        <f t="shared" si="121"/>
        <v>9.7020536701797073E-3</v>
      </c>
      <c r="AI124" s="52">
        <f>'FY 2013 by Agency'!AI124*Inflator!$B$8</f>
        <v>0</v>
      </c>
      <c r="AJ124" s="52">
        <f>'FY 2013 by Agency'!AJ124*Inflator!$B$8</f>
        <v>0</v>
      </c>
      <c r="AK124" s="52">
        <f>'FY 2013 by Agency'!AK124</f>
        <v>423039</v>
      </c>
      <c r="AL124" s="52">
        <f>'FY 2013 by Agency'!AL124</f>
        <v>0</v>
      </c>
      <c r="AM124" s="52">
        <f>'FY 2013 by Agency'!AM124</f>
        <v>423039</v>
      </c>
      <c r="AN124" s="52">
        <f>'FY 2013 by Agency'!AN124</f>
        <v>433792</v>
      </c>
      <c r="AO124" s="52">
        <f>'FY 2013 by Agency'!AO124</f>
        <v>433792</v>
      </c>
      <c r="AP124" s="52">
        <f>'FY 2013 by Agency'!AP124</f>
        <v>0</v>
      </c>
      <c r="AQ124" s="52">
        <f>'FY 2013 by Agency'!AQ124</f>
        <v>0</v>
      </c>
      <c r="AR124" s="52">
        <f>'FY 2013 by Agency'!AR124</f>
        <v>0</v>
      </c>
      <c r="AS124" s="52">
        <f>'FY 2013 by Agency'!AS124</f>
        <v>440368.37102000002</v>
      </c>
      <c r="AT124" s="52" t="e">
        <f t="shared" si="122"/>
        <v>#REF!</v>
      </c>
      <c r="AU124" s="58" t="e">
        <f t="shared" si="123"/>
        <v>#REF!</v>
      </c>
      <c r="AV124" s="52">
        <f t="shared" si="124"/>
        <v>40267.709992431046</v>
      </c>
      <c r="AW124" s="58">
        <f t="shared" si="125"/>
        <v>0.10064394767309918</v>
      </c>
      <c r="AX124" s="279" t="s">
        <v>337</v>
      </c>
      <c r="AY124" s="65">
        <v>434660.8</v>
      </c>
      <c r="AZ124" s="78">
        <f t="shared" si="126"/>
        <v>868.79999999998836</v>
      </c>
      <c r="BA124" s="78">
        <f t="shared" si="127"/>
        <v>41136.509992431034</v>
      </c>
      <c r="BB124" s="78">
        <f t="shared" si="128"/>
        <v>441237.17102000001</v>
      </c>
      <c r="BC124" s="241">
        <f t="shared" si="129"/>
        <v>0.10281540122123545</v>
      </c>
      <c r="BD124" s="291">
        <v>5043.62</v>
      </c>
      <c r="BE124" s="51">
        <f t="shared" si="137"/>
        <v>1.1603576858092563E-2</v>
      </c>
      <c r="BF124" s="299">
        <v>6822</v>
      </c>
      <c r="BG124" s="299"/>
      <c r="BI124" s="219">
        <v>427839</v>
      </c>
      <c r="BJ124" s="78">
        <f t="shared" si="138"/>
        <v>-6821.7999999999884</v>
      </c>
      <c r="BK124" s="78">
        <f t="shared" si="139"/>
        <v>427839</v>
      </c>
      <c r="BL124" s="573">
        <f>'FY 2013 by Agency'!AS124*Inflator!$E$13</f>
        <v>456628.53973938368</v>
      </c>
      <c r="BM124" s="62">
        <f t="shared" si="140"/>
        <v>56527.878711814701</v>
      </c>
      <c r="BN124" s="579">
        <f t="shared" si="130"/>
        <v>0.14128414226218847</v>
      </c>
      <c r="BO124" s="52">
        <f>'FY 2013 by Agency'!AX124*Inflator!$E$13</f>
        <v>450895.00213610014</v>
      </c>
      <c r="BP124" s="52">
        <f t="shared" si="74"/>
        <v>50794.341108531167</v>
      </c>
      <c r="BQ124" s="51">
        <f t="shared" si="75"/>
        <v>0.12695390449512697</v>
      </c>
      <c r="BR124" s="52">
        <f>'FY 2013 by Agency'!BE124*Inflator!$E$14</f>
        <v>490743.64467005082</v>
      </c>
      <c r="BS124" s="52">
        <f t="shared" si="76"/>
        <v>39848.642533950682</v>
      </c>
      <c r="BT124" s="51">
        <f t="shared" si="77"/>
        <v>8.8376766974947729E-2</v>
      </c>
      <c r="BU124" s="52">
        <f>'FY 2013 by Agency'!BL124*Inflator!$E$14</f>
        <v>490743.64467005082</v>
      </c>
      <c r="BV124" s="62">
        <f t="shared" si="141"/>
        <v>34115.104930667148</v>
      </c>
      <c r="BW124" s="487">
        <v>535364</v>
      </c>
      <c r="BX124" s="39">
        <f>'FY 2013 by Agency'!BW124*Inflator!E15</f>
        <v>535364</v>
      </c>
      <c r="BY124" s="681">
        <v>535364</v>
      </c>
      <c r="BZ124" s="39">
        <f t="shared" si="72"/>
        <v>44620.355329949176</v>
      </c>
      <c r="CA124" s="51">
        <f t="shared" si="73"/>
        <v>9.092395961632771E-2</v>
      </c>
      <c r="CC124" s="39"/>
    </row>
    <row r="125" spans="1:251" ht="18" customHeight="1">
      <c r="A125" s="57" t="s">
        <v>143</v>
      </c>
      <c r="B125" s="322">
        <f>'FY 2013 by Agency'!B125*Inflator!$E$2</f>
        <v>54859.815789473687</v>
      </c>
      <c r="C125" s="322">
        <f>'FY 2013 by Agency'!C125*Inflator!$E$3</f>
        <v>61622.23106646059</v>
      </c>
      <c r="D125" s="322">
        <f t="shared" si="78"/>
        <v>6762.4152769869033</v>
      </c>
      <c r="E125" s="351">
        <f t="shared" si="79"/>
        <v>0.12326718891907859</v>
      </c>
      <c r="F125" s="10">
        <f>'FY 2013 by Agency'!F125*Inflator!$E$4</f>
        <v>72523.435097068897</v>
      </c>
      <c r="G125" s="10">
        <f t="shared" si="80"/>
        <v>10901.204030608307</v>
      </c>
      <c r="H125" s="14">
        <f t="shared" si="81"/>
        <v>0.1769037544072557</v>
      </c>
      <c r="I125" s="10">
        <f>'FY 2013 by Agency'!I125*Inflator!$E$5</f>
        <v>63870.774265526226</v>
      </c>
      <c r="J125" s="10">
        <f t="shared" si="82"/>
        <v>-8652.6608315426711</v>
      </c>
      <c r="K125" s="14">
        <f t="shared" si="83"/>
        <v>-0.11930848035481949</v>
      </c>
      <c r="L125" s="10">
        <f>'FY 2013 by Agency'!L125*Inflator!$E$6</f>
        <v>62822.856415848772</v>
      </c>
      <c r="M125" s="10">
        <f t="shared" si="84"/>
        <v>-1047.9178496774548</v>
      </c>
      <c r="N125" s="14">
        <f t="shared" si="85"/>
        <v>-1.6406844315382921E-2</v>
      </c>
      <c r="O125" s="10">
        <f>'FY 2013 by Agency'!O125*Inflator!$E$7</f>
        <v>61693.853572685664</v>
      </c>
      <c r="P125" s="52">
        <f t="shared" si="131"/>
        <v>-1129.0028431631072</v>
      </c>
      <c r="Q125" s="58">
        <f>P125/L125</f>
        <v>-1.7971211555389981E-2</v>
      </c>
      <c r="R125" s="52">
        <f>'FY 2013 by Agency'!R125*Inflator!$E$8</f>
        <v>70665.942973523415</v>
      </c>
      <c r="S125" s="52">
        <f t="shared" si="132"/>
        <v>8972.0894008377509</v>
      </c>
      <c r="T125" s="58">
        <f t="shared" si="133"/>
        <v>0.14542922643447992</v>
      </c>
      <c r="U125" s="52">
        <f>'FY 2013 by Agency'!U125*Inflator!$E$9</f>
        <v>70569.339522546419</v>
      </c>
      <c r="V125" s="52">
        <f t="shared" si="142"/>
        <v>-96.603450976996101</v>
      </c>
      <c r="W125" s="58">
        <f t="shared" si="134"/>
        <v>-1.3670439664718089E-3</v>
      </c>
      <c r="X125" s="52">
        <f>'FY 2013 by Agency'!X125*Inflator!$E$10</f>
        <v>67733.394728485247</v>
      </c>
      <c r="Y125" s="40">
        <f t="shared" si="135"/>
        <v>-2835.9447940611717</v>
      </c>
      <c r="Z125" s="58">
        <f t="shared" si="136"/>
        <v>-4.0186642148678564E-2</v>
      </c>
      <c r="AA125" s="52">
        <f>'FY 2013 by Agency'!AA125*Inflator!$E$11</f>
        <v>67191.417648932795</v>
      </c>
      <c r="AB125" s="39">
        <f t="shared" si="118"/>
        <v>-541.97707955245278</v>
      </c>
      <c r="AC125" s="58">
        <f t="shared" si="119"/>
        <v>-8.0016228586358533E-3</v>
      </c>
      <c r="AD125" s="52" t="e">
        <f>'FY 2013 by Agency'!AD125*Inflator!#REF!</f>
        <v>#REF!</v>
      </c>
      <c r="AE125" s="52">
        <f>'FY 2013 by Agency'!AE125*Inflator!$B$8</f>
        <v>0</v>
      </c>
      <c r="AF125" s="52">
        <f>'FY 2013 by Agency'!AF125*Inflator!$E$12</f>
        <v>66075.77067669174</v>
      </c>
      <c r="AG125" s="52">
        <f t="shared" si="120"/>
        <v>-1115.6469722410548</v>
      </c>
      <c r="AH125" s="58">
        <f t="shared" si="121"/>
        <v>-1.6604010025062697E-2</v>
      </c>
      <c r="AI125" s="52">
        <f>'FY 2013 by Agency'!AI125*Inflator!$B$8</f>
        <v>0</v>
      </c>
      <c r="AJ125" s="52">
        <f>'FY 2013 by Agency'!AJ125*Inflator!$B$8</f>
        <v>0</v>
      </c>
      <c r="AK125" s="52">
        <f>'FY 2013 by Agency'!AK125</f>
        <v>63436</v>
      </c>
      <c r="AL125" s="52">
        <f>'FY 2013 by Agency'!AL125</f>
        <v>0</v>
      </c>
      <c r="AM125" s="52">
        <f>'FY 2013 by Agency'!AM125</f>
        <v>63436</v>
      </c>
      <c r="AN125" s="52">
        <f>'FY 2013 by Agency'!AN125</f>
        <v>62070</v>
      </c>
      <c r="AO125" s="52">
        <f>'FY 2013 by Agency'!AO125</f>
        <v>62070</v>
      </c>
      <c r="AP125" s="52">
        <f>'FY 2013 by Agency'!AP125</f>
        <v>0</v>
      </c>
      <c r="AQ125" s="52">
        <f>'FY 2013 by Agency'!AQ125</f>
        <v>0</v>
      </c>
      <c r="AR125" s="52">
        <f>'FY 2013 by Agency'!AR125</f>
        <v>0</v>
      </c>
      <c r="AS125" s="52">
        <f>'FY 2013 by Agency'!AS125</f>
        <v>66420</v>
      </c>
      <c r="AT125" s="52" t="e">
        <f t="shared" si="122"/>
        <v>#REF!</v>
      </c>
      <c r="AU125" s="58" t="e">
        <f t="shared" si="123"/>
        <v>#REF!</v>
      </c>
      <c r="AV125" s="52">
        <f t="shared" si="124"/>
        <v>344.22932330826006</v>
      </c>
      <c r="AW125" s="58">
        <f t="shared" si="125"/>
        <v>5.2096149584478042E-3</v>
      </c>
      <c r="AX125" s="279" t="s">
        <v>338</v>
      </c>
      <c r="AY125" s="65">
        <v>62920</v>
      </c>
      <c r="AZ125" s="78">
        <f t="shared" si="126"/>
        <v>850</v>
      </c>
      <c r="BA125" s="78">
        <f t="shared" si="127"/>
        <v>1194.2293233082601</v>
      </c>
      <c r="BB125" s="78">
        <f t="shared" si="128"/>
        <v>67270</v>
      </c>
      <c r="BC125" s="241">
        <f t="shared" si="129"/>
        <v>1.807363442118004E-2</v>
      </c>
      <c r="BD125" s="291">
        <v>6292</v>
      </c>
      <c r="BE125" s="51">
        <f t="shared" si="137"/>
        <v>0.1</v>
      </c>
      <c r="BF125" s="299"/>
      <c r="BG125" s="299"/>
      <c r="BI125" s="219">
        <v>62920</v>
      </c>
      <c r="BJ125" s="78">
        <f t="shared" si="138"/>
        <v>0</v>
      </c>
      <c r="BK125" s="78">
        <f t="shared" si="139"/>
        <v>62920</v>
      </c>
      <c r="BL125" s="573">
        <f>'FY 2013 by Agency'!AS125*Inflator!$E$13</f>
        <v>68872.493133964002</v>
      </c>
      <c r="BM125" s="62">
        <f t="shared" si="140"/>
        <v>2796.7224572722625</v>
      </c>
      <c r="BN125" s="579">
        <f t="shared" si="130"/>
        <v>4.2325990732012875E-2</v>
      </c>
      <c r="BO125" s="52">
        <f>'FY 2013 by Agency'!AX125*Inflator!$E$13</f>
        <v>65243.259078425399</v>
      </c>
      <c r="BP125" s="52">
        <f t="shared" si="74"/>
        <v>-832.51159826634103</v>
      </c>
      <c r="BQ125" s="51">
        <f t="shared" si="75"/>
        <v>-1.2599347532998354E-2</v>
      </c>
      <c r="BR125" s="52">
        <f>'FY 2013 by Agency'!BE125*Inflator!$E$14</f>
        <v>65120.047178262175</v>
      </c>
      <c r="BS125" s="52">
        <f t="shared" si="76"/>
        <v>-123.21190016322362</v>
      </c>
      <c r="BT125" s="51">
        <f t="shared" si="77"/>
        <v>-1.8885000826693412E-3</v>
      </c>
      <c r="BU125" s="52">
        <f>'FY 2013 by Agency'!BL125*Inflator!$E$14</f>
        <v>65120.047178262175</v>
      </c>
      <c r="BV125" s="62">
        <f t="shared" si="141"/>
        <v>-3752.4459557018272</v>
      </c>
      <c r="BW125" s="39">
        <v>64955</v>
      </c>
      <c r="BX125" s="39">
        <f>'FY 2013 by Agency'!BW125*Inflator!E15</f>
        <v>65009</v>
      </c>
      <c r="BY125" s="681">
        <v>64955</v>
      </c>
      <c r="BZ125" s="39">
        <f t="shared" si="72"/>
        <v>-165.04717826217529</v>
      </c>
      <c r="CA125" s="51">
        <f t="shared" si="73"/>
        <v>-2.5345064294927284E-3</v>
      </c>
      <c r="CC125" s="39"/>
    </row>
    <row r="126" spans="1:251" s="63" customFormat="1" ht="18" customHeight="1">
      <c r="A126" s="63" t="s">
        <v>21</v>
      </c>
      <c r="B126" s="322">
        <f>'FY 2013 by Agency'!B126*Inflator!$E$2</f>
        <v>32625.135566188201</v>
      </c>
      <c r="C126" s="322">
        <f>'FY 2013 by Agency'!C126*Inflator!$E$3</f>
        <v>34927.973724884083</v>
      </c>
      <c r="D126" s="322">
        <f t="shared" si="78"/>
        <v>2302.8381586958822</v>
      </c>
      <c r="E126" s="351">
        <f t="shared" si="79"/>
        <v>7.0584784361248168E-2</v>
      </c>
      <c r="F126" s="10">
        <f>'FY 2013 by Agency'!F126*Inflator!$E$4</f>
        <v>33857.118385991627</v>
      </c>
      <c r="G126" s="10">
        <f t="shared" si="80"/>
        <v>-1070.8553388924556</v>
      </c>
      <c r="H126" s="14">
        <f t="shared" si="81"/>
        <v>-3.0658959701677042E-2</v>
      </c>
      <c r="I126" s="10">
        <f>'FY 2013 by Agency'!I126*Inflator!$E$5</f>
        <v>32813.635552249914</v>
      </c>
      <c r="J126" s="10">
        <f t="shared" si="82"/>
        <v>-1043.482833741713</v>
      </c>
      <c r="K126" s="14">
        <f t="shared" si="83"/>
        <v>-3.0820190361311246E-2</v>
      </c>
      <c r="L126" s="10">
        <f>'FY 2013 by Agency'!L126*Inflator!$E$6</f>
        <v>33616.854961832054</v>
      </c>
      <c r="M126" s="10">
        <f t="shared" si="84"/>
        <v>803.21940958213963</v>
      </c>
      <c r="N126" s="14">
        <f t="shared" si="85"/>
        <v>2.4478220595311809E-2</v>
      </c>
      <c r="O126" s="10">
        <f>'FY 2013 by Agency'!O126*Inflator!$E$7</f>
        <v>36088.649771207318</v>
      </c>
      <c r="P126" s="69">
        <f t="shared" si="131"/>
        <v>2471.7948093752639</v>
      </c>
      <c r="Q126" s="72">
        <f>P126/L126</f>
        <v>7.352843721346608E-2</v>
      </c>
      <c r="R126" s="52">
        <f>'FY 2013 by Agency'!R126*Inflator!$E$8</f>
        <v>40183.137813985064</v>
      </c>
      <c r="S126" s="69">
        <f t="shared" si="132"/>
        <v>4094.4880427777462</v>
      </c>
      <c r="T126" s="72">
        <f t="shared" si="133"/>
        <v>0.11345639331855691</v>
      </c>
      <c r="U126" s="52">
        <f>'FY 2013 by Agency'!U126*Inflator!$E$9</f>
        <v>48082.375994694958</v>
      </c>
      <c r="V126" s="69">
        <f t="shared" si="142"/>
        <v>7899.2381807098936</v>
      </c>
      <c r="W126" s="72">
        <f t="shared" si="134"/>
        <v>0.19658091952094137</v>
      </c>
      <c r="X126" s="52">
        <f>'FY 2013 by Agency'!X126*Inflator!$E$10</f>
        <v>48539.928231184509</v>
      </c>
      <c r="Y126" s="40">
        <f t="shared" si="135"/>
        <v>457.55223648955143</v>
      </c>
      <c r="Z126" s="58">
        <f t="shared" si="136"/>
        <v>9.5160072068825024E-3</v>
      </c>
      <c r="AA126" s="52">
        <f>'FY 2013 by Agency'!AA126*Inflator!$E$11</f>
        <v>48894.827652118518</v>
      </c>
      <c r="AB126" s="39">
        <f t="shared" si="118"/>
        <v>354.89942093400896</v>
      </c>
      <c r="AC126" s="58">
        <f t="shared" si="119"/>
        <v>7.3114945544151752E-3</v>
      </c>
      <c r="AD126" s="52" t="e">
        <f>'FY 2013 by Agency'!AD126*Inflator!#REF!</f>
        <v>#REF!</v>
      </c>
      <c r="AE126" s="52">
        <f>'FY 2013 by Agency'!AE126*Inflator!$B$8</f>
        <v>0</v>
      </c>
      <c r="AF126" s="52">
        <f>'FY 2013 by Agency'!AF126*Inflator!$E$12</f>
        <v>42126.896616541359</v>
      </c>
      <c r="AG126" s="52">
        <f t="shared" si="120"/>
        <v>-6767.9310355771595</v>
      </c>
      <c r="AH126" s="58">
        <f t="shared" si="121"/>
        <v>-0.13841813869823341</v>
      </c>
      <c r="AI126" s="52">
        <f>'FY 2013 by Agency'!AI126*Inflator!$B$8</f>
        <v>0</v>
      </c>
      <c r="AJ126" s="52">
        <f>'FY 2013 by Agency'!AJ126*Inflator!$B$8</f>
        <v>0</v>
      </c>
      <c r="AK126" s="52">
        <f>'FY 2013 by Agency'!AK126</f>
        <v>44046</v>
      </c>
      <c r="AL126" s="52">
        <f>'FY 2013 by Agency'!AL126</f>
        <v>0</v>
      </c>
      <c r="AM126" s="52">
        <f>'FY 2013 by Agency'!AM126</f>
        <v>44046</v>
      </c>
      <c r="AN126" s="52">
        <f>'FY 2013 by Agency'!AN126</f>
        <v>35764</v>
      </c>
      <c r="AO126" s="52">
        <f>'FY 2013 by Agency'!AO126</f>
        <v>36757</v>
      </c>
      <c r="AP126" s="52">
        <f>'FY 2013 by Agency'!AP126</f>
        <v>3805</v>
      </c>
      <c r="AQ126" s="52">
        <f>'FY 2013 by Agency'!AQ126</f>
        <v>94</v>
      </c>
      <c r="AR126" s="52">
        <f>'FY 2013 by Agency'!AR126</f>
        <v>3899</v>
      </c>
      <c r="AS126" s="52">
        <f>'FY 2013 by Agency'!AS126</f>
        <v>39342.0893</v>
      </c>
      <c r="AT126" s="52" t="e">
        <f t="shared" si="122"/>
        <v>#REF!</v>
      </c>
      <c r="AU126" s="58" t="e">
        <f t="shared" si="123"/>
        <v>#REF!</v>
      </c>
      <c r="AV126" s="52">
        <f t="shared" si="124"/>
        <v>-2784.8073165413589</v>
      </c>
      <c r="AW126" s="58">
        <f t="shared" si="125"/>
        <v>-6.6105209265471712E-2</v>
      </c>
      <c r="AX126" s="279" t="s">
        <v>339</v>
      </c>
      <c r="AY126" s="65">
        <v>37399.906669999997</v>
      </c>
      <c r="AZ126" s="78">
        <f t="shared" si="126"/>
        <v>642.90666999999667</v>
      </c>
      <c r="BA126" s="78">
        <f t="shared" si="127"/>
        <v>-2141.9006465413622</v>
      </c>
      <c r="BB126" s="78">
        <f t="shared" si="128"/>
        <v>39984.995969999996</v>
      </c>
      <c r="BC126" s="241">
        <f t="shared" si="129"/>
        <v>-5.0844016971815842E-2</v>
      </c>
      <c r="BD126" s="291">
        <v>0</v>
      </c>
      <c r="BE126" s="51">
        <f t="shared" si="137"/>
        <v>0</v>
      </c>
      <c r="BF126" s="299">
        <v>792</v>
      </c>
      <c r="BG126" s="299"/>
      <c r="BH126" s="63">
        <v>60</v>
      </c>
      <c r="BI126" s="244">
        <v>36097</v>
      </c>
      <c r="BJ126" s="78">
        <f t="shared" si="138"/>
        <v>-1302.9066699999967</v>
      </c>
      <c r="BK126" s="78">
        <f t="shared" si="139"/>
        <v>39996</v>
      </c>
      <c r="BL126" s="573">
        <f>'FY 2013 by Agency'!AS126*Inflator!$E$13</f>
        <v>40794.757229600247</v>
      </c>
      <c r="BM126" s="62">
        <f t="shared" si="140"/>
        <v>-1332.1393869411113</v>
      </c>
      <c r="BN126" s="579">
        <f t="shared" si="130"/>
        <v>-3.1622063193186639E-2</v>
      </c>
      <c r="BO126" s="52">
        <f>'FY 2013 by Agency'!AX126*Inflator!$E$13</f>
        <v>37429.846200793414</v>
      </c>
      <c r="BP126" s="52">
        <f t="shared" si="74"/>
        <v>-4697.0504157479445</v>
      </c>
      <c r="BQ126" s="51">
        <f t="shared" si="75"/>
        <v>-0.11149766047337134</v>
      </c>
      <c r="BR126" s="52">
        <f>'FY 2013 by Agency'!BE126*Inflator!$E$14</f>
        <v>35561.810092564949</v>
      </c>
      <c r="BS126" s="52">
        <f t="shared" si="76"/>
        <v>-1868.0361082284653</v>
      </c>
      <c r="BT126" s="51">
        <f t="shared" si="77"/>
        <v>-4.9907661875160679E-2</v>
      </c>
      <c r="BU126" s="69">
        <f>'FY 2013 by Agency'!BL126*Inflator!$E$14</f>
        <v>38551.928336816964</v>
      </c>
      <c r="BV126" s="62">
        <f t="shared" si="141"/>
        <v>-2242.8288927832837</v>
      </c>
      <c r="BW126" s="487">
        <v>40047</v>
      </c>
      <c r="BX126" s="39">
        <f>'FY 2013 by Agency'!BW126*Inflator!E15</f>
        <v>42665.599999999999</v>
      </c>
      <c r="BY126" s="681">
        <v>42547</v>
      </c>
      <c r="BZ126" s="39">
        <f t="shared" si="72"/>
        <v>4485.1899074350513</v>
      </c>
      <c r="CA126" s="51">
        <f t="shared" si="73"/>
        <v>0.12612377985711104</v>
      </c>
      <c r="CC126" s="39"/>
    </row>
    <row r="127" spans="1:251" s="63" customFormat="1" ht="18" customHeight="1">
      <c r="A127" s="63" t="s">
        <v>144</v>
      </c>
      <c r="B127" s="326" t="s">
        <v>78</v>
      </c>
      <c r="C127" s="326" t="s">
        <v>78</v>
      </c>
      <c r="D127" s="326" t="s">
        <v>78</v>
      </c>
      <c r="E127" s="326" t="s">
        <v>78</v>
      </c>
      <c r="F127" s="326" t="s">
        <v>78</v>
      </c>
      <c r="G127" s="326" t="s">
        <v>78</v>
      </c>
      <c r="H127" s="326" t="s">
        <v>78</v>
      </c>
      <c r="I127" s="326" t="s">
        <v>78</v>
      </c>
      <c r="J127" s="326" t="s">
        <v>78</v>
      </c>
      <c r="K127" s="326" t="s">
        <v>78</v>
      </c>
      <c r="L127" s="10">
        <f>'FY 2013 by Agency'!L127*Inflator!$E$6</f>
        <v>0</v>
      </c>
      <c r="M127" s="326" t="s">
        <v>78</v>
      </c>
      <c r="N127" s="326" t="s">
        <v>78</v>
      </c>
      <c r="O127" s="10">
        <f>'FY 2013 by Agency'!O127*Inflator!$E$7</f>
        <v>0</v>
      </c>
      <c r="P127" s="69">
        <f t="shared" si="131"/>
        <v>0</v>
      </c>
      <c r="Q127" s="70" t="s">
        <v>78</v>
      </c>
      <c r="R127" s="52">
        <f>'FY 2013 by Agency'!R127*Inflator!$E$8</f>
        <v>0</v>
      </c>
      <c r="S127" s="69">
        <f t="shared" si="132"/>
        <v>0</v>
      </c>
      <c r="T127" s="70" t="s">
        <v>78</v>
      </c>
      <c r="U127" s="52">
        <f>'FY 2013 by Agency'!U127*Inflator!$E$9</f>
        <v>0</v>
      </c>
      <c r="V127" s="69">
        <f t="shared" si="142"/>
        <v>0</v>
      </c>
      <c r="W127" s="70" t="s">
        <v>78</v>
      </c>
      <c r="X127" s="52">
        <f>'FY 2013 by Agency'!X127*Inflator!$E$10</f>
        <v>1854.9260082565895</v>
      </c>
      <c r="Y127" s="40">
        <f t="shared" si="135"/>
        <v>1854.9260082565895</v>
      </c>
      <c r="Z127" s="61" t="s">
        <v>127</v>
      </c>
      <c r="AA127" s="52">
        <f>'FY 2013 by Agency'!AA127*Inflator!$E$11</f>
        <v>3745.4858235106726</v>
      </c>
      <c r="AB127" s="39">
        <f t="shared" si="118"/>
        <v>1890.5598152540831</v>
      </c>
      <c r="AC127" s="58">
        <f t="shared" si="119"/>
        <v>1.0192103657174902</v>
      </c>
      <c r="AD127" s="52" t="e">
        <f>'FY 2013 by Agency'!AD127*Inflator!#REF!</f>
        <v>#REF!</v>
      </c>
      <c r="AE127" s="52">
        <f>'FY 2013 by Agency'!AE127*Inflator!$B$8</f>
        <v>0</v>
      </c>
      <c r="AF127" s="52">
        <f>'FY 2013 by Agency'!AF127*Inflator!$E$12</f>
        <v>1708.5808270676694</v>
      </c>
      <c r="AG127" s="52">
        <f t="shared" si="120"/>
        <v>-2036.9049964430033</v>
      </c>
      <c r="AH127" s="58">
        <f t="shared" si="121"/>
        <v>-0.54382931678908253</v>
      </c>
      <c r="AI127" s="52">
        <f>'FY 2013 by Agency'!AI127*Inflator!$B$8</f>
        <v>0</v>
      </c>
      <c r="AJ127" s="52">
        <f>'FY 2013 by Agency'!AJ127*Inflator!$B$8</f>
        <v>0</v>
      </c>
      <c r="AK127" s="52">
        <f>'FY 2013 by Agency'!AK127</f>
        <v>1662</v>
      </c>
      <c r="AL127" s="52">
        <f>'FY 2013 by Agency'!AL127</f>
        <v>0</v>
      </c>
      <c r="AM127" s="52">
        <f>'FY 2013 by Agency'!AM127</f>
        <v>1662</v>
      </c>
      <c r="AN127" s="52">
        <f>'FY 2013 by Agency'!AN127</f>
        <v>1468</v>
      </c>
      <c r="AO127" s="52">
        <f>'FY 2013 by Agency'!AO127</f>
        <v>3637</v>
      </c>
      <c r="AP127" s="52">
        <f>'FY 2013 by Agency'!AP127</f>
        <v>0</v>
      </c>
      <c r="AQ127" s="52">
        <f>'FY 2013 by Agency'!AQ127</f>
        <v>0</v>
      </c>
      <c r="AR127" s="52">
        <f>'FY 2013 by Agency'!AR127</f>
        <v>0</v>
      </c>
      <c r="AS127" s="52">
        <f>'FY 2013 by Agency'!AS127</f>
        <v>1303.9581000000001</v>
      </c>
      <c r="AT127" s="52" t="e">
        <f t="shared" si="122"/>
        <v>#REF!</v>
      </c>
      <c r="AU127" s="58" t="e">
        <f t="shared" si="123"/>
        <v>#REF!</v>
      </c>
      <c r="AV127" s="52">
        <f t="shared" si="124"/>
        <v>-404.6227270676693</v>
      </c>
      <c r="AW127" s="58">
        <f t="shared" si="125"/>
        <v>-0.23681801917565587</v>
      </c>
      <c r="AX127" s="279" t="s">
        <v>340</v>
      </c>
      <c r="AY127" s="80">
        <v>3637</v>
      </c>
      <c r="AZ127" s="78">
        <f t="shared" si="126"/>
        <v>0</v>
      </c>
      <c r="BA127" s="78">
        <f t="shared" si="127"/>
        <v>-404.6227270676693</v>
      </c>
      <c r="BB127" s="78">
        <f t="shared" si="128"/>
        <v>1303.9581000000001</v>
      </c>
      <c r="BC127" s="241">
        <f t="shared" si="129"/>
        <v>-0.23681801917565592</v>
      </c>
      <c r="BD127" s="291">
        <v>0</v>
      </c>
      <c r="BE127" s="51">
        <f t="shared" si="137"/>
        <v>0</v>
      </c>
      <c r="BF127" s="299">
        <v>147</v>
      </c>
      <c r="BG127" s="299"/>
      <c r="BI127" s="246">
        <v>3490</v>
      </c>
      <c r="BJ127" s="78">
        <f t="shared" si="138"/>
        <v>-147</v>
      </c>
      <c r="BK127" s="78">
        <f t="shared" si="139"/>
        <v>3490</v>
      </c>
      <c r="BL127" s="573">
        <f>'FY 2013 by Agency'!AS127*Inflator!$E$13</f>
        <v>1352.1054695758319</v>
      </c>
      <c r="BM127" s="62">
        <f t="shared" si="140"/>
        <v>-356.47535749183749</v>
      </c>
      <c r="BN127" s="579">
        <f t="shared" si="130"/>
        <v>-0.20863827560539461</v>
      </c>
      <c r="BO127" s="52">
        <f>'FY 2013 by Agency'!AX127*Inflator!$E$13</f>
        <v>3618.8648153799213</v>
      </c>
      <c r="BP127" s="52">
        <f t="shared" si="74"/>
        <v>1910.2839883122519</v>
      </c>
      <c r="BQ127" s="51">
        <f t="shared" si="75"/>
        <v>1.1180530403064122</v>
      </c>
      <c r="BR127" s="52">
        <f>'FY 2013 by Agency'!BE127*Inflator!$E$14</f>
        <v>3541.0630038817562</v>
      </c>
      <c r="BS127" s="52">
        <f t="shared" si="76"/>
        <v>-77.80181149816508</v>
      </c>
      <c r="BT127" s="51">
        <f t="shared" si="77"/>
        <v>-2.1498954911914048E-2</v>
      </c>
      <c r="BU127" s="69">
        <f>'FY 2013 by Agency'!BL127*Inflator!$E$14</f>
        <v>3541.0630038817562</v>
      </c>
      <c r="BV127" s="62">
        <f t="shared" si="141"/>
        <v>2188.9575343059241</v>
      </c>
      <c r="BW127" s="39">
        <v>3495</v>
      </c>
      <c r="BX127" s="39">
        <f>'FY 2013 by Agency'!BW127*Inflator!E15</f>
        <v>3495</v>
      </c>
      <c r="BY127" s="681">
        <v>3495</v>
      </c>
      <c r="BZ127" s="39">
        <f t="shared" si="72"/>
        <v>-46.063003881756231</v>
      </c>
      <c r="CA127" s="51">
        <f t="shared" si="73"/>
        <v>-1.3008241827739695E-2</v>
      </c>
      <c r="CC127" s="39"/>
    </row>
    <row r="128" spans="1:251" s="63" customFormat="1" ht="18" customHeight="1">
      <c r="A128" s="251" t="s">
        <v>371</v>
      </c>
      <c r="B128" s="322">
        <f>'FY 2013 by Agency'!B128*Inflator!$E$2</f>
        <v>2740.8907496012762</v>
      </c>
      <c r="C128" s="322">
        <f>'FY 2013 by Agency'!C128*Inflator!$E$3</f>
        <v>2489.415765069552</v>
      </c>
      <c r="D128" s="322">
        <f t="shared" si="78"/>
        <v>-251.4749845317242</v>
      </c>
      <c r="E128" s="351">
        <f t="shared" si="79"/>
        <v>-9.1749364533521394E-2</v>
      </c>
      <c r="F128" s="10">
        <f>'FY 2013 by Agency'!F128*Inflator!$E$4</f>
        <v>2802.9942900647125</v>
      </c>
      <c r="G128" s="10">
        <f t="shared" si="80"/>
        <v>313.57852499516048</v>
      </c>
      <c r="H128" s="14">
        <f t="shared" si="81"/>
        <v>0.12596470601462564</v>
      </c>
      <c r="I128" s="10">
        <f>'FY 2013 by Agency'!I128*Inflator!$E$5</f>
        <v>2550.0795834882861</v>
      </c>
      <c r="J128" s="10">
        <f t="shared" si="82"/>
        <v>-252.9147065764264</v>
      </c>
      <c r="K128" s="14">
        <f t="shared" si="83"/>
        <v>-9.0230189719932463E-2</v>
      </c>
      <c r="L128" s="10">
        <f>'FY 2013 by Agency'!L128*Inflator!$E$6</f>
        <v>0</v>
      </c>
      <c r="M128" s="10">
        <f t="shared" si="84"/>
        <v>-2550.0795834882861</v>
      </c>
      <c r="N128" s="14">
        <f t="shared" si="85"/>
        <v>-1</v>
      </c>
      <c r="O128" s="10"/>
      <c r="P128" s="69"/>
      <c r="Q128" s="70"/>
      <c r="R128" s="52"/>
      <c r="S128" s="69"/>
      <c r="T128" s="70"/>
      <c r="U128" s="52">
        <f>'FY 2013 by Agency'!U128*Inflator!$E$9</f>
        <v>0</v>
      </c>
      <c r="V128" s="69"/>
      <c r="W128" s="70"/>
      <c r="X128" s="52"/>
      <c r="Y128" s="40"/>
      <c r="Z128" s="61"/>
      <c r="AA128" s="52"/>
      <c r="AB128" s="39"/>
      <c r="AC128" s="58"/>
      <c r="AD128" s="52"/>
      <c r="AE128" s="52"/>
      <c r="AF128" s="52"/>
      <c r="AG128" s="52"/>
      <c r="AH128" s="58"/>
      <c r="AI128" s="52"/>
      <c r="AJ128" s="52"/>
      <c r="AK128" s="52"/>
      <c r="AL128" s="52"/>
      <c r="AM128" s="52"/>
      <c r="AN128" s="52"/>
      <c r="AO128" s="52"/>
      <c r="AP128" s="52"/>
      <c r="AQ128" s="52"/>
      <c r="AR128" s="52"/>
      <c r="AS128" s="52"/>
      <c r="AT128" s="52"/>
      <c r="AU128" s="58"/>
      <c r="AV128" s="52"/>
      <c r="AW128" s="58"/>
      <c r="AX128" s="279"/>
      <c r="AY128" s="80"/>
      <c r="AZ128" s="78"/>
      <c r="BA128" s="78"/>
      <c r="BB128" s="78"/>
      <c r="BC128" s="241"/>
      <c r="BD128" s="291"/>
      <c r="BE128" s="51"/>
      <c r="BF128" s="299"/>
      <c r="BG128" s="299"/>
      <c r="BI128" s="246"/>
      <c r="BJ128" s="78"/>
      <c r="BK128" s="78">
        <f t="shared" si="139"/>
        <v>0</v>
      </c>
      <c r="BL128" s="573">
        <f>'FY 2013 by Agency'!AS128*Inflator!$E$13</f>
        <v>0</v>
      </c>
      <c r="BM128" s="62">
        <f t="shared" si="140"/>
        <v>0</v>
      </c>
      <c r="BN128" s="579" t="e">
        <f t="shared" si="130"/>
        <v>#DIV/0!</v>
      </c>
      <c r="BO128" s="52">
        <f>'FY 2013 by Agency'!AX128*Inflator!$E$13</f>
        <v>0</v>
      </c>
      <c r="BP128" s="52">
        <f t="shared" si="74"/>
        <v>0</v>
      </c>
      <c r="BQ128" s="51" t="e">
        <f t="shared" si="75"/>
        <v>#DIV/0!</v>
      </c>
      <c r="BR128" s="52">
        <f>'FY 2013 by Agency'!BE128*Inflator!$E$14</f>
        <v>0</v>
      </c>
      <c r="BS128" s="52">
        <f t="shared" si="76"/>
        <v>0</v>
      </c>
      <c r="BT128" s="51" t="e">
        <f t="shared" si="77"/>
        <v>#DIV/0!</v>
      </c>
      <c r="BU128" s="69">
        <f>'FY 2013 by Agency'!BL128*Inflator!$E$14</f>
        <v>0</v>
      </c>
      <c r="BV128" s="62">
        <f t="shared" si="141"/>
        <v>0</v>
      </c>
      <c r="BW128" s="39"/>
      <c r="BX128" s="39">
        <f>'FY 2013 by Agency'!BW128*Inflator!E15</f>
        <v>833.25</v>
      </c>
      <c r="BY128" s="681"/>
      <c r="BZ128" s="39">
        <f t="shared" si="72"/>
        <v>0</v>
      </c>
      <c r="CA128" s="51" t="e">
        <f t="shared" si="73"/>
        <v>#DIV/0!</v>
      </c>
      <c r="CC128" s="39"/>
    </row>
    <row r="129" spans="1:82" ht="18" customHeight="1">
      <c r="A129" s="63" t="s">
        <v>180</v>
      </c>
      <c r="B129" s="484" t="s">
        <v>78</v>
      </c>
      <c r="C129" s="326" t="s">
        <v>78</v>
      </c>
      <c r="D129" s="326" t="s">
        <v>78</v>
      </c>
      <c r="E129" s="326" t="s">
        <v>78</v>
      </c>
      <c r="F129" s="326" t="s">
        <v>78</v>
      </c>
      <c r="G129" s="326" t="s">
        <v>78</v>
      </c>
      <c r="H129" s="326" t="s">
        <v>78</v>
      </c>
      <c r="I129" s="326" t="s">
        <v>78</v>
      </c>
      <c r="J129" s="326" t="s">
        <v>78</v>
      </c>
      <c r="K129" s="326" t="s">
        <v>78</v>
      </c>
      <c r="L129" s="326" t="s">
        <v>78</v>
      </c>
      <c r="M129" s="326" t="s">
        <v>78</v>
      </c>
      <c r="N129" s="326" t="s">
        <v>78</v>
      </c>
      <c r="O129" s="326" t="s">
        <v>78</v>
      </c>
      <c r="P129" s="326" t="s">
        <v>78</v>
      </c>
      <c r="Q129" s="326" t="s">
        <v>78</v>
      </c>
      <c r="R129" s="326" t="s">
        <v>78</v>
      </c>
      <c r="S129" s="326" t="s">
        <v>78</v>
      </c>
      <c r="T129" s="326" t="s">
        <v>78</v>
      </c>
      <c r="U129" s="52">
        <f>'FY 2013 by Agency'!U129*Inflator!$E$9</f>
        <v>1443.2486737400529</v>
      </c>
      <c r="V129" s="69"/>
      <c r="W129" s="70"/>
      <c r="X129" s="52">
        <f>'FY 2013 by Agency'!X129*Inflator!$E$10</f>
        <v>37747.042870752623</v>
      </c>
      <c r="Y129" s="40">
        <f t="shared" si="135"/>
        <v>36303.794197012568</v>
      </c>
      <c r="Z129" s="58">
        <f>Y129/U129</f>
        <v>25.154219683385854</v>
      </c>
      <c r="AA129" s="52">
        <f>'FY 2013 by Agency'!AA129*Inflator!$E$11</f>
        <v>41466.641605606885</v>
      </c>
      <c r="AB129" s="39">
        <f t="shared" si="118"/>
        <v>3719.5987348542621</v>
      </c>
      <c r="AC129" s="58">
        <f t="shared" si="119"/>
        <v>9.8540135914495772E-2</v>
      </c>
      <c r="AD129" s="52" t="e">
        <f>'FY 2013 by Agency'!AD129*Inflator!#REF!</f>
        <v>#REF!</v>
      </c>
      <c r="AE129" s="52">
        <f>'FY 2013 by Agency'!AE129*Inflator!$B$8</f>
        <v>0</v>
      </c>
      <c r="AF129" s="52">
        <f>'FY 2013 by Agency'!AF129*Inflator!$E$12</f>
        <v>33465.828947368427</v>
      </c>
      <c r="AG129" s="52">
        <f t="shared" si="120"/>
        <v>-8000.8126582384575</v>
      </c>
      <c r="AH129" s="58">
        <f t="shared" si="121"/>
        <v>-0.19294575949349688</v>
      </c>
      <c r="AI129" s="52">
        <f>'FY 2013 by Agency'!AI129*Inflator!$B$8</f>
        <v>0</v>
      </c>
      <c r="AJ129" s="52">
        <f>'FY 2013 by Agency'!AJ129*Inflator!$B$8</f>
        <v>0</v>
      </c>
      <c r="AK129" s="52">
        <f>'FY 2013 by Agency'!AK129</f>
        <v>29316</v>
      </c>
      <c r="AL129" s="52">
        <f>'FY 2013 by Agency'!AL129</f>
        <v>0</v>
      </c>
      <c r="AM129" s="52">
        <f>'FY 2013 by Agency'!AM129</f>
        <v>29316</v>
      </c>
      <c r="AN129" s="52">
        <f>'FY 2013 by Agency'!AN129</f>
        <v>26203</v>
      </c>
      <c r="AO129" s="52">
        <f>'FY 2013 by Agency'!AO129</f>
        <v>27653</v>
      </c>
      <c r="AP129" s="52">
        <f>'FY 2013 by Agency'!AP129</f>
        <v>535</v>
      </c>
      <c r="AQ129" s="52">
        <f>'FY 2013 by Agency'!AQ129</f>
        <v>0</v>
      </c>
      <c r="AR129" s="52">
        <f>'FY 2013 by Agency'!AR129</f>
        <v>535</v>
      </c>
      <c r="AS129" s="52">
        <f>'FY 2013 by Agency'!AS129</f>
        <v>27469.85614</v>
      </c>
      <c r="AT129" s="52" t="e">
        <f t="shared" si="122"/>
        <v>#REF!</v>
      </c>
      <c r="AU129" s="58" t="e">
        <f t="shared" si="123"/>
        <v>#REF!</v>
      </c>
      <c r="AV129" s="52">
        <f t="shared" si="124"/>
        <v>-5995.9728073684273</v>
      </c>
      <c r="AW129" s="58">
        <f t="shared" si="125"/>
        <v>-0.17916701889555073</v>
      </c>
      <c r="AX129" s="279" t="s">
        <v>342</v>
      </c>
      <c r="AY129" s="65">
        <v>28192.973020000001</v>
      </c>
      <c r="AZ129" s="78">
        <f t="shared" si="126"/>
        <v>539.97302000000127</v>
      </c>
      <c r="BA129" s="78">
        <f t="shared" si="127"/>
        <v>-5455.999787368426</v>
      </c>
      <c r="BB129" s="78">
        <f t="shared" si="128"/>
        <v>28009.829160000001</v>
      </c>
      <c r="BC129" s="241">
        <f t="shared" si="129"/>
        <v>-0.16303196301962386</v>
      </c>
      <c r="BD129" s="291">
        <v>648.41399999999999</v>
      </c>
      <c r="BE129" s="51">
        <f t="shared" si="137"/>
        <v>2.2999135264663902E-2</v>
      </c>
      <c r="BF129" s="299">
        <v>770</v>
      </c>
      <c r="BG129" s="299"/>
      <c r="BH129" s="50">
        <v>10</v>
      </c>
      <c r="BI129" s="246">
        <v>27641</v>
      </c>
      <c r="BJ129" s="78">
        <f t="shared" si="138"/>
        <v>-551.97302000000127</v>
      </c>
      <c r="BK129" s="78">
        <f t="shared" si="139"/>
        <v>28176</v>
      </c>
      <c r="BL129" s="573">
        <f>'FY 2013 by Agency'!AS129*Inflator!$E$13</f>
        <v>28484.153544009769</v>
      </c>
      <c r="BM129" s="62">
        <f t="shared" si="140"/>
        <v>-4981.6754033586585</v>
      </c>
      <c r="BN129" s="579">
        <f t="shared" si="130"/>
        <v>-0.14885856887613091</v>
      </c>
      <c r="BO129" s="52">
        <f>'FY 2013 by Agency'!AX129*Inflator!$E$13</f>
        <v>49244.558437595369</v>
      </c>
      <c r="BP129" s="52">
        <f t="shared" si="74"/>
        <v>15778.729490226942</v>
      </c>
      <c r="BQ129" s="51">
        <f t="shared" si="75"/>
        <v>0.47148778280801251</v>
      </c>
      <c r="BR129" s="52">
        <f>'FY 2013 by Agency'!BE129*Inflator!$E$14</f>
        <v>46509.681098835477</v>
      </c>
      <c r="BS129" s="52">
        <f t="shared" si="76"/>
        <v>-2734.8773387598922</v>
      </c>
      <c r="BT129" s="51">
        <f t="shared" si="77"/>
        <v>-5.5536640504668867E-2</v>
      </c>
      <c r="BU129" s="52">
        <f>'FY 2013 by Agency'!BL129*Inflator!$E$14</f>
        <v>46942.928635413562</v>
      </c>
      <c r="BV129" s="62">
        <f>BU129-BL129</f>
        <v>18458.775091403793</v>
      </c>
      <c r="BW129" s="487">
        <v>47782</v>
      </c>
      <c r="BX129" s="39">
        <f>'FY 2013 by Agency'!BW129*Inflator!E15</f>
        <v>48176.1</v>
      </c>
      <c r="BY129" s="681">
        <v>47782</v>
      </c>
      <c r="BZ129" s="39">
        <f t="shared" si="72"/>
        <v>1272.3189011645227</v>
      </c>
      <c r="CA129" s="51">
        <f t="shared" si="73"/>
        <v>2.7356001398091277E-2</v>
      </c>
      <c r="CC129" s="39"/>
    </row>
    <row r="130" spans="1:82" ht="18" customHeight="1">
      <c r="A130" s="63" t="s">
        <v>133</v>
      </c>
      <c r="B130" s="484" t="s">
        <v>78</v>
      </c>
      <c r="C130" s="326" t="s">
        <v>78</v>
      </c>
      <c r="D130" s="326" t="s">
        <v>78</v>
      </c>
      <c r="E130" s="326" t="s">
        <v>78</v>
      </c>
      <c r="F130" s="326" t="s">
        <v>78</v>
      </c>
      <c r="G130" s="326" t="s">
        <v>78</v>
      </c>
      <c r="H130" s="326" t="s">
        <v>78</v>
      </c>
      <c r="I130" s="326" t="s">
        <v>78</v>
      </c>
      <c r="J130" s="326" t="s">
        <v>78</v>
      </c>
      <c r="K130" s="326" t="s">
        <v>78</v>
      </c>
      <c r="L130" s="326" t="s">
        <v>78</v>
      </c>
      <c r="M130" s="326" t="s">
        <v>78</v>
      </c>
      <c r="N130" s="326" t="s">
        <v>78</v>
      </c>
      <c r="O130" s="326" t="s">
        <v>78</v>
      </c>
      <c r="P130" s="326" t="s">
        <v>78</v>
      </c>
      <c r="Q130" s="326" t="s">
        <v>78</v>
      </c>
      <c r="R130" s="326" t="s">
        <v>78</v>
      </c>
      <c r="S130" s="326" t="s">
        <v>78</v>
      </c>
      <c r="T130" s="326" t="s">
        <v>78</v>
      </c>
      <c r="U130" s="52">
        <f>'FY 2013 by Agency'!U130*Inflator!$E$9</f>
        <v>0</v>
      </c>
      <c r="V130" s="69"/>
      <c r="W130" s="70"/>
      <c r="X130" s="52">
        <f>'FY 2013 by Agency'!X130*Inflator!$E$10</f>
        <v>0</v>
      </c>
      <c r="Y130" s="40">
        <f t="shared" si="135"/>
        <v>0</v>
      </c>
      <c r="Z130" s="61" t="s">
        <v>127</v>
      </c>
      <c r="AA130" s="52">
        <f>'FY 2013 by Agency'!AA130*Inflator!$E$11</f>
        <v>153391.71710735906</v>
      </c>
      <c r="AB130" s="39">
        <f t="shared" si="118"/>
        <v>153391.71710735906</v>
      </c>
      <c r="AC130" s="275" t="s">
        <v>127</v>
      </c>
      <c r="AD130" s="52" t="e">
        <f>'FY 2013 by Agency'!AD130*Inflator!#REF!</f>
        <v>#REF!</v>
      </c>
      <c r="AE130" s="52">
        <f>'FY 2013 by Agency'!AE130*Inflator!$B$8</f>
        <v>0</v>
      </c>
      <c r="AF130" s="52">
        <f>'FY 2013 by Agency'!AF130*Inflator!$E$12</f>
        <v>177317.68922305768</v>
      </c>
      <c r="AG130" s="52">
        <f t="shared" si="120"/>
        <v>23925.97211569862</v>
      </c>
      <c r="AH130" s="58">
        <f t="shared" si="121"/>
        <v>0.15597955722050363</v>
      </c>
      <c r="AI130" s="52">
        <f>'FY 2013 by Agency'!AI130*Inflator!$B$8</f>
        <v>0</v>
      </c>
      <c r="AJ130" s="52">
        <f>'FY 2013 by Agency'!AJ130*Inflator!$B$8</f>
        <v>0</v>
      </c>
      <c r="AK130" s="52">
        <f>'FY 2013 by Agency'!AK130</f>
        <v>200600</v>
      </c>
      <c r="AL130" s="52">
        <f>'FY 2013 by Agency'!AL130</f>
        <v>0</v>
      </c>
      <c r="AM130" s="52">
        <f>'FY 2013 by Agency'!AM130</f>
        <v>200600</v>
      </c>
      <c r="AN130" s="52">
        <f>'FY 2013 by Agency'!AN130</f>
        <v>179891</v>
      </c>
      <c r="AO130" s="52">
        <f>'FY 2013 by Agency'!AO130</f>
        <v>179891</v>
      </c>
      <c r="AP130" s="52">
        <f>'FY 2013 by Agency'!AP130</f>
        <v>0</v>
      </c>
      <c r="AQ130" s="52">
        <f>'FY 2013 by Agency'!AQ130</f>
        <v>0</v>
      </c>
      <c r="AR130" s="52">
        <f>'FY 2013 by Agency'!AR130</f>
        <v>0</v>
      </c>
      <c r="AS130" s="52">
        <f>'FY 2013 by Agency'!AS130</f>
        <v>135239.86283999999</v>
      </c>
      <c r="AT130" s="52" t="e">
        <f t="shared" si="122"/>
        <v>#REF!</v>
      </c>
      <c r="AU130" s="58" t="e">
        <f t="shared" si="123"/>
        <v>#REF!</v>
      </c>
      <c r="AV130" s="52">
        <f t="shared" si="124"/>
        <v>-42077.826383057691</v>
      </c>
      <c r="AW130" s="58">
        <f t="shared" si="125"/>
        <v>-0.23730191030250614</v>
      </c>
      <c r="AX130" s="279" t="s">
        <v>343</v>
      </c>
      <c r="AY130" s="65">
        <v>179891.489</v>
      </c>
      <c r="AZ130" s="78">
        <f t="shared" si="126"/>
        <v>0.48900000000139698</v>
      </c>
      <c r="BA130" s="78">
        <f t="shared" si="127"/>
        <v>-42077.337383057689</v>
      </c>
      <c r="BB130" s="78">
        <f t="shared" si="128"/>
        <v>135240.35183999999</v>
      </c>
      <c r="BC130" s="241">
        <f t="shared" si="129"/>
        <v>-0.237299152540423</v>
      </c>
      <c r="BD130" s="291">
        <v>0</v>
      </c>
      <c r="BE130" s="51">
        <f t="shared" si="137"/>
        <v>0</v>
      </c>
      <c r="BF130" s="299">
        <v>21862</v>
      </c>
      <c r="BG130" s="299"/>
      <c r="BI130" s="246">
        <v>158017</v>
      </c>
      <c r="BJ130" s="78">
        <f t="shared" si="138"/>
        <v>-21874.489000000001</v>
      </c>
      <c r="BK130" s="78">
        <f t="shared" si="139"/>
        <v>158017</v>
      </c>
      <c r="BL130" s="573">
        <f>'FY 2013 by Agency'!AS130*Inflator!$E$13</f>
        <v>140233.46168151358</v>
      </c>
      <c r="BM130" s="62">
        <f t="shared" si="140"/>
        <v>-37084.227541544096</v>
      </c>
      <c r="BN130" s="579">
        <f t="shared" si="130"/>
        <v>-0.20914003393589123</v>
      </c>
      <c r="BO130" s="52">
        <f>'FY 2013 by Agency'!AX130*Inflator!$E$13</f>
        <v>163851.62221544099</v>
      </c>
      <c r="BP130" s="52">
        <f t="shared" si="74"/>
        <v>-13466.067007616686</v>
      </c>
      <c r="BQ130" s="51">
        <f t="shared" si="75"/>
        <v>-7.5943167693083236E-2</v>
      </c>
      <c r="BR130" s="52">
        <f>'FY 2013 by Agency'!BE130*Inflator!$E$14</f>
        <v>152435.15258286058</v>
      </c>
      <c r="BS130" s="52">
        <f t="shared" si="76"/>
        <v>-11416.469632580411</v>
      </c>
      <c r="BT130" s="51">
        <f t="shared" si="77"/>
        <v>-6.9675658246272462E-2</v>
      </c>
      <c r="BU130" s="52">
        <f>'FY 2013 by Agency'!BL130*Inflator!$E$14</f>
        <v>152435.15258286058</v>
      </c>
      <c r="BV130" s="62">
        <f t="shared" si="141"/>
        <v>12201.690901346999</v>
      </c>
      <c r="BW130" s="39">
        <v>109941</v>
      </c>
      <c r="BX130" s="39">
        <f>'FY 2013 by Agency'!BW130*Inflator!E15</f>
        <v>109941</v>
      </c>
      <c r="BY130" s="681">
        <v>109941</v>
      </c>
      <c r="BZ130" s="39">
        <f t="shared" si="72"/>
        <v>-42494.152582860581</v>
      </c>
      <c r="CA130" s="51">
        <f t="shared" si="73"/>
        <v>-0.27876872140605258</v>
      </c>
      <c r="CC130" s="39"/>
    </row>
    <row r="131" spans="1:82" ht="18" customHeight="1">
      <c r="A131" s="63" t="s">
        <v>134</v>
      </c>
      <c r="B131" s="484" t="s">
        <v>78</v>
      </c>
      <c r="C131" s="326" t="s">
        <v>78</v>
      </c>
      <c r="D131" s="326" t="s">
        <v>78</v>
      </c>
      <c r="E131" s="326" t="s">
        <v>78</v>
      </c>
      <c r="F131" s="326" t="s">
        <v>78</v>
      </c>
      <c r="G131" s="326" t="s">
        <v>78</v>
      </c>
      <c r="H131" s="326" t="s">
        <v>78</v>
      </c>
      <c r="I131" s="326" t="s">
        <v>78</v>
      </c>
      <c r="J131" s="326" t="s">
        <v>78</v>
      </c>
      <c r="K131" s="326" t="s">
        <v>78</v>
      </c>
      <c r="L131" s="326" t="s">
        <v>78</v>
      </c>
      <c r="M131" s="326" t="s">
        <v>78</v>
      </c>
      <c r="N131" s="326" t="s">
        <v>78</v>
      </c>
      <c r="O131" s="326" t="s">
        <v>78</v>
      </c>
      <c r="P131" s="326" t="s">
        <v>78</v>
      </c>
      <c r="Q131" s="326" t="s">
        <v>78</v>
      </c>
      <c r="R131" s="326" t="s">
        <v>78</v>
      </c>
      <c r="S131" s="326" t="s">
        <v>78</v>
      </c>
      <c r="T131" s="326" t="s">
        <v>78</v>
      </c>
      <c r="U131" s="52">
        <f>'FY 2013 by Agency'!U131*Inflator!$E$9</f>
        <v>0</v>
      </c>
      <c r="V131" s="63"/>
      <c r="W131" s="63"/>
      <c r="X131" s="52">
        <f>'FY 2013 by Agency'!X131*Inflator!$E$10</f>
        <v>184.52143537630997</v>
      </c>
      <c r="Y131" s="40">
        <f t="shared" si="135"/>
        <v>184.52143537630997</v>
      </c>
      <c r="Z131" s="63" t="s">
        <v>127</v>
      </c>
      <c r="AA131" s="52">
        <f>'FY 2013 by Agency'!AA131*Inflator!$E$11</f>
        <v>81792.317298502719</v>
      </c>
      <c r="AB131" s="39">
        <f t="shared" si="118"/>
        <v>81607.795863126405</v>
      </c>
      <c r="AC131" s="58">
        <f>AB131/X131</f>
        <v>442.26729375206094</v>
      </c>
      <c r="AD131" s="52" t="e">
        <f>'FY 2013 by Agency'!AD131*Inflator!#REF!</f>
        <v>#REF!</v>
      </c>
      <c r="AE131" s="52">
        <f>'FY 2013 by Agency'!AE131*Inflator!$B$8</f>
        <v>0</v>
      </c>
      <c r="AF131" s="52">
        <f>'FY 2013 by Agency'!AF131*Inflator!$E$12</f>
        <v>99398.951754385969</v>
      </c>
      <c r="AG131" s="52">
        <f t="shared" si="120"/>
        <v>17606.63445588325</v>
      </c>
      <c r="AH131" s="58">
        <f t="shared" si="121"/>
        <v>0.21526024738518509</v>
      </c>
      <c r="AI131" s="52">
        <f>'FY 2013 by Agency'!AI131*Inflator!$B$8</f>
        <v>0</v>
      </c>
      <c r="AJ131" s="52">
        <f>'FY 2013 by Agency'!AJ131*Inflator!$B$8</f>
        <v>0</v>
      </c>
      <c r="AK131" s="52">
        <f>'FY 2013 by Agency'!AK131</f>
        <v>87135</v>
      </c>
      <c r="AL131" s="52">
        <f>'FY 2013 by Agency'!AL131</f>
        <v>0</v>
      </c>
      <c r="AM131" s="52">
        <f>'FY 2013 by Agency'!AM131</f>
        <v>87135</v>
      </c>
      <c r="AN131" s="52">
        <f>'FY 2013 by Agency'!AN131</f>
        <v>89171</v>
      </c>
      <c r="AO131" s="52">
        <f>'FY 2013 by Agency'!AO131</f>
        <v>89171</v>
      </c>
      <c r="AP131" s="52">
        <f>'FY 2013 by Agency'!AP131</f>
        <v>0</v>
      </c>
      <c r="AQ131" s="52">
        <f>'FY 2013 by Agency'!AQ131</f>
        <v>0</v>
      </c>
      <c r="AR131" s="52">
        <f>'FY 2013 by Agency'!AR131</f>
        <v>0</v>
      </c>
      <c r="AS131" s="52">
        <f>'FY 2013 by Agency'!AS131</f>
        <v>95972.694640000002</v>
      </c>
      <c r="AT131" s="52" t="e">
        <f t="shared" si="122"/>
        <v>#REF!</v>
      </c>
      <c r="AU131" s="58" t="e">
        <f t="shared" si="123"/>
        <v>#REF!</v>
      </c>
      <c r="AV131" s="52">
        <f t="shared" si="124"/>
        <v>-3426.2571143859677</v>
      </c>
      <c r="AW131" s="58">
        <f t="shared" si="125"/>
        <v>-3.4469750977376729E-2</v>
      </c>
      <c r="AX131" s="279" t="s">
        <v>344</v>
      </c>
      <c r="AY131" s="65">
        <v>89171.4</v>
      </c>
      <c r="AZ131" s="78">
        <f t="shared" si="126"/>
        <v>0.39999999999417923</v>
      </c>
      <c r="BA131" s="78">
        <f t="shared" si="127"/>
        <v>-3425.8571143859735</v>
      </c>
      <c r="BB131" s="78">
        <f t="shared" si="128"/>
        <v>95973.094639999996</v>
      </c>
      <c r="BC131" s="241">
        <f t="shared" si="129"/>
        <v>-3.446572679006954E-2</v>
      </c>
      <c r="BD131" s="291">
        <v>0</v>
      </c>
      <c r="BE131" s="51">
        <f t="shared" si="137"/>
        <v>0</v>
      </c>
      <c r="BF131" s="299">
        <v>4406</v>
      </c>
      <c r="BG131" s="299"/>
      <c r="BI131" s="246">
        <v>93604</v>
      </c>
      <c r="BJ131" s="78">
        <f t="shared" si="138"/>
        <v>4432.6000000000058</v>
      </c>
      <c r="BK131" s="78">
        <f t="shared" si="139"/>
        <v>93604</v>
      </c>
      <c r="BL131" s="573">
        <f>'FY 2013 by Agency'!AS131*Inflator!$E$13</f>
        <v>99516.391939798617</v>
      </c>
      <c r="BM131" s="62">
        <f t="shared" si="140"/>
        <v>117.44018541264813</v>
      </c>
      <c r="BN131" s="579">
        <f t="shared" si="130"/>
        <v>1.1815032587349805E-3</v>
      </c>
      <c r="BO131" s="52">
        <f>'FY 2013 by Agency'!AX131*Inflator!$E$13</f>
        <v>97060.235581324392</v>
      </c>
      <c r="BP131" s="52">
        <f t="shared" si="74"/>
        <v>-2338.7161730615771</v>
      </c>
      <c r="BQ131" s="51">
        <f t="shared" si="75"/>
        <v>-2.3528579847004086E-2</v>
      </c>
      <c r="BR131" s="52">
        <f>'FY 2013 by Agency'!BE131*Inflator!$E$14</f>
        <v>90058.668259181854</v>
      </c>
      <c r="BS131" s="52">
        <f t="shared" si="76"/>
        <v>-7001.5673221425386</v>
      </c>
      <c r="BT131" s="51">
        <f t="shared" si="77"/>
        <v>-7.2136310819852653E-2</v>
      </c>
      <c r="BU131" s="52">
        <f>'FY 2013 by Agency'!BL131*Inflator!$E$14</f>
        <v>90114.472977008074</v>
      </c>
      <c r="BV131" s="62">
        <f t="shared" si="141"/>
        <v>-9401.9189627905434</v>
      </c>
      <c r="BW131" s="39">
        <v>91190</v>
      </c>
      <c r="BX131" s="39">
        <f>'FY 2013 by Agency'!BW131*Inflator!E15</f>
        <v>91190</v>
      </c>
      <c r="BY131" s="681">
        <v>91190</v>
      </c>
      <c r="BZ131" s="39">
        <f t="shared" si="72"/>
        <v>1131.3317408181465</v>
      </c>
      <c r="CA131" s="51">
        <f t="shared" si="73"/>
        <v>1.2562163783748852E-2</v>
      </c>
      <c r="CC131" s="39"/>
    </row>
    <row r="132" spans="1:82" s="130" customFormat="1" ht="18" customHeight="1" thickBot="1">
      <c r="A132" s="130" t="s">
        <v>184</v>
      </c>
      <c r="B132" s="331" t="s">
        <v>78</v>
      </c>
      <c r="C132" s="331" t="s">
        <v>78</v>
      </c>
      <c r="D132" s="331" t="s">
        <v>78</v>
      </c>
      <c r="E132" s="331" t="s">
        <v>78</v>
      </c>
      <c r="F132" s="331" t="s">
        <v>78</v>
      </c>
      <c r="G132" s="331" t="s">
        <v>78</v>
      </c>
      <c r="H132" s="331" t="s">
        <v>78</v>
      </c>
      <c r="I132" s="331" t="s">
        <v>78</v>
      </c>
      <c r="J132" s="331" t="s">
        <v>78</v>
      </c>
      <c r="K132" s="331" t="s">
        <v>78</v>
      </c>
      <c r="L132" s="331" t="s">
        <v>78</v>
      </c>
      <c r="M132" s="331" t="s">
        <v>78</v>
      </c>
      <c r="N132" s="331" t="s">
        <v>78</v>
      </c>
      <c r="O132" s="331" t="s">
        <v>78</v>
      </c>
      <c r="P132" s="331" t="s">
        <v>78</v>
      </c>
      <c r="Q132" s="331" t="s">
        <v>78</v>
      </c>
      <c r="R132" s="331" t="s">
        <v>78</v>
      </c>
      <c r="S132" s="331" t="s">
        <v>78</v>
      </c>
      <c r="T132" s="331" t="s">
        <v>78</v>
      </c>
      <c r="U132" s="75"/>
      <c r="X132" s="75">
        <f>'FY 2013 by Agency'!X132*Inflator!$E$10</f>
        <v>414.36392505557325</v>
      </c>
      <c r="AA132" s="75">
        <f>'FY 2013 by Agency'!AA132*Inflator!$E$11</f>
        <v>0</v>
      </c>
      <c r="AB132" s="102">
        <f t="shared" si="118"/>
        <v>-414.36392505557325</v>
      </c>
      <c r="AC132" s="77">
        <f>AB132/X132</f>
        <v>-1</v>
      </c>
      <c r="AD132" s="75" t="e">
        <f>'FY 2013 by Agency'!AD132*Inflator!#REF!</f>
        <v>#REF!</v>
      </c>
      <c r="AE132" s="75">
        <f>'FY 2013 by Agency'!AE132*Inflator!$B$8</f>
        <v>0</v>
      </c>
      <c r="AF132" s="75">
        <f>'FY 2013 by Agency'!AF132*Inflator!$E$12</f>
        <v>0</v>
      </c>
      <c r="AG132" s="75">
        <f t="shared" si="120"/>
        <v>0</v>
      </c>
      <c r="AH132" s="77" t="e">
        <f t="shared" si="121"/>
        <v>#DIV/0!</v>
      </c>
      <c r="AI132" s="75">
        <f>'FY 2013 by Agency'!AI132*Inflator!$B$8</f>
        <v>0</v>
      </c>
      <c r="AJ132" s="75">
        <f>'FY 2013 by Agency'!AJ132*Inflator!$B$8</f>
        <v>0</v>
      </c>
      <c r="AK132" s="75">
        <f>'FY 2013 by Agency'!AK132</f>
        <v>0</v>
      </c>
      <c r="AL132" s="75">
        <f>'FY 2013 by Agency'!AL132</f>
        <v>0</v>
      </c>
      <c r="AM132" s="75">
        <f>'FY 2013 by Agency'!AM132</f>
        <v>0</v>
      </c>
      <c r="AN132" s="75">
        <f>'FY 2013 by Agency'!AN132</f>
        <v>0</v>
      </c>
      <c r="AO132" s="75">
        <f>'FY 2013 by Agency'!AO132</f>
        <v>0</v>
      </c>
      <c r="AP132" s="75">
        <f>'FY 2013 by Agency'!AP132</f>
        <v>0</v>
      </c>
      <c r="AQ132" s="75">
        <f>'FY 2013 by Agency'!AQ132</f>
        <v>0</v>
      </c>
      <c r="AR132" s="75">
        <f>'FY 2013 by Agency'!AR132</f>
        <v>0</v>
      </c>
      <c r="AS132" s="75">
        <f>'FY 2013 by Agency'!AS132</f>
        <v>1380</v>
      </c>
      <c r="AT132" s="75" t="e">
        <f t="shared" si="122"/>
        <v>#REF!</v>
      </c>
      <c r="AU132" s="77" t="e">
        <f t="shared" si="123"/>
        <v>#REF!</v>
      </c>
      <c r="AV132" s="75">
        <f t="shared" si="124"/>
        <v>1380</v>
      </c>
      <c r="AW132" s="77" t="e">
        <f t="shared" si="125"/>
        <v>#DIV/0!</v>
      </c>
      <c r="AX132" s="249"/>
      <c r="AY132" s="249"/>
      <c r="AZ132" s="249"/>
      <c r="BA132" s="249"/>
      <c r="BB132" s="249"/>
      <c r="BC132" s="249"/>
      <c r="BD132" s="295"/>
      <c r="BE132" s="302"/>
      <c r="BF132" s="302"/>
      <c r="BG132" s="302"/>
      <c r="BI132" s="313"/>
      <c r="BJ132" s="313">
        <f t="shared" si="138"/>
        <v>0</v>
      </c>
      <c r="BK132" s="313">
        <f t="shared" si="139"/>
        <v>0</v>
      </c>
      <c r="BL132" s="578">
        <f>'FY 2013 by Agency'!AS132*Inflator!$E$13</f>
        <v>1430.9551418980777</v>
      </c>
      <c r="BM132" s="62">
        <f t="shared" si="140"/>
        <v>1430.9551418980777</v>
      </c>
      <c r="BN132" s="580" t="e">
        <f t="shared" si="130"/>
        <v>#DIV/0!</v>
      </c>
      <c r="BO132" s="75">
        <f>'FY 2013 by Agency'!AX132*Inflator!$E$13</f>
        <v>0</v>
      </c>
      <c r="BP132" s="75">
        <f t="shared" si="74"/>
        <v>0</v>
      </c>
      <c r="BQ132" s="55" t="e">
        <f t="shared" si="75"/>
        <v>#DIV/0!</v>
      </c>
      <c r="BR132" s="75">
        <f>'FY 2013 by Agency'!BE132*Inflator!$E$14</f>
        <v>0</v>
      </c>
      <c r="BS132" s="75">
        <f t="shared" si="76"/>
        <v>0</v>
      </c>
      <c r="BT132" s="55" t="e">
        <f t="shared" si="77"/>
        <v>#DIV/0!</v>
      </c>
      <c r="BU132" s="156">
        <f>'FY 2013 by Agency'!BL132*Inflator!$E$14</f>
        <v>0</v>
      </c>
      <c r="BV132" s="62">
        <f t="shared" si="141"/>
        <v>-1430.9551418980777</v>
      </c>
      <c r="BW132" s="102">
        <v>0</v>
      </c>
      <c r="BX132" s="39">
        <f>'FY 2013 by Agency'!BW132*Inflator!E15</f>
        <v>0</v>
      </c>
      <c r="BY132" s="254"/>
      <c r="BZ132" s="39">
        <f t="shared" si="72"/>
        <v>0</v>
      </c>
      <c r="CA132" s="51" t="e">
        <f t="shared" si="73"/>
        <v>#DIV/0!</v>
      </c>
      <c r="CC132" s="39"/>
    </row>
    <row r="133" spans="1:82" s="13" customFormat="1" ht="18" customHeight="1">
      <c r="A133" s="64" t="s">
        <v>59</v>
      </c>
      <c r="B133" s="322">
        <f>'FY 2013 by Agency'!B133*Inflator!$E$2</f>
        <v>1029210.5733652313</v>
      </c>
      <c r="C133" s="322">
        <f>'FY 2013 by Agency'!C133*Inflator!$E$3</f>
        <v>1286729.9034003092</v>
      </c>
      <c r="D133" s="47">
        <f t="shared" si="78"/>
        <v>257519.33003507787</v>
      </c>
      <c r="E133" s="356">
        <f t="shared" si="79"/>
        <v>0.25021053679332261</v>
      </c>
      <c r="F133" s="10">
        <f>'FY 2013 by Agency'!F133*Inflator!$E$4</f>
        <v>1235522.8892272555</v>
      </c>
      <c r="G133" s="12">
        <f t="shared" si="80"/>
        <v>-51207.014173053671</v>
      </c>
      <c r="H133" s="15">
        <f t="shared" si="81"/>
        <v>-3.9796241649264659E-2</v>
      </c>
      <c r="I133" s="10">
        <f>'FY 2013 by Agency'!I133*Inflator!$E$5</f>
        <v>1186092.813685385</v>
      </c>
      <c r="J133" s="12">
        <f t="shared" si="82"/>
        <v>-49430.075541870436</v>
      </c>
      <c r="K133" s="15">
        <f t="shared" si="83"/>
        <v>-4.0007413843045792E-2</v>
      </c>
      <c r="L133" s="10">
        <f>'FY 2013 by Agency'!L133*Inflator!$E$6</f>
        <v>1296981.1501272263</v>
      </c>
      <c r="M133" s="10">
        <f t="shared" si="84"/>
        <v>110888.33644184121</v>
      </c>
      <c r="N133" s="14">
        <f t="shared" si="85"/>
        <v>9.3490437815985872E-2</v>
      </c>
      <c r="O133" s="10">
        <f>'FY 2013 by Agency'!O133*Inflator!$E$7</f>
        <v>1370628.3315733895</v>
      </c>
      <c r="P133" s="12">
        <f>O133-L133</f>
        <v>73647.181446163217</v>
      </c>
      <c r="Q133" s="36">
        <f>P133/L133</f>
        <v>5.6783540330512021E-2</v>
      </c>
      <c r="R133" s="52">
        <f>'FY 2013 by Agency'!R133*Inflator!$E$8</f>
        <v>1413606.0631364561</v>
      </c>
      <c r="S133" s="12">
        <f t="shared" si="132"/>
        <v>42977.731563066598</v>
      </c>
      <c r="T133" s="36">
        <f>S133/O133</f>
        <v>3.1356225880528124E-2</v>
      </c>
      <c r="U133" s="52">
        <f>'FY 2013 by Agency'!U133*Inflator!$E$9</f>
        <v>1448416.6531830237</v>
      </c>
      <c r="V133" s="12">
        <f>SUM(V120:V132)</f>
        <v>33367.341372827592</v>
      </c>
      <c r="W133" s="45">
        <f t="shared" ref="W133" si="143">V133/R133</f>
        <v>2.3604413027766297E-2</v>
      </c>
      <c r="X133" s="52">
        <f>'FY 2013 by Agency'!X133*Inflator!$E$10</f>
        <v>1561917.8386789458</v>
      </c>
      <c r="Y133" s="12">
        <f>SUM(Y120:Y132)</f>
        <v>113086.82157086649</v>
      </c>
      <c r="Z133" s="36">
        <f>Y133/U133</f>
        <v>7.8076167739681956E-2</v>
      </c>
      <c r="AA133" s="52">
        <f>'FY 2013 by Agency'!AA133*Inflator!$E$11</f>
        <v>1549178.4020388662</v>
      </c>
      <c r="AB133" s="12">
        <f>SUM(AB120:AB132)</f>
        <v>-12739.436640079688</v>
      </c>
      <c r="AC133" s="36">
        <f>AB133/X133</f>
        <v>-8.1562783423067726E-3</v>
      </c>
      <c r="AD133" s="12" t="e">
        <f>'FY 2013 by Agency'!AD133*Inflator!#REF!</f>
        <v>#REF!</v>
      </c>
      <c r="AE133" s="12">
        <f>SUM(AE120:AE132)</f>
        <v>0</v>
      </c>
      <c r="AF133" s="52">
        <f>'FY 2013 by Agency'!AF133*Inflator!$E$12</f>
        <v>1497785.598997494</v>
      </c>
      <c r="AG133" s="12">
        <f t="shared" si="120"/>
        <v>-51392.803041372215</v>
      </c>
      <c r="AH133" s="36">
        <f t="shared" si="121"/>
        <v>-3.3174231562829948E-2</v>
      </c>
      <c r="AI133" s="12">
        <f t="shared" ref="AI133:AT133" si="144">SUM(AI120:AI132)</f>
        <v>0</v>
      </c>
      <c r="AJ133" s="12">
        <f t="shared" si="144"/>
        <v>0</v>
      </c>
      <c r="AK133" s="12">
        <f t="shared" si="144"/>
        <v>1520467</v>
      </c>
      <c r="AL133" s="12">
        <f t="shared" si="144"/>
        <v>0</v>
      </c>
      <c r="AM133" s="12">
        <f t="shared" si="144"/>
        <v>1520467</v>
      </c>
      <c r="AN133" s="12">
        <f t="shared" si="144"/>
        <v>1503960</v>
      </c>
      <c r="AO133" s="12">
        <f t="shared" si="144"/>
        <v>1523404</v>
      </c>
      <c r="AP133" s="12">
        <f t="shared" si="144"/>
        <v>4371</v>
      </c>
      <c r="AQ133" s="12">
        <f t="shared" si="144"/>
        <v>111</v>
      </c>
      <c r="AR133" s="12">
        <f t="shared" si="144"/>
        <v>4482</v>
      </c>
      <c r="AS133" s="12">
        <f t="shared" si="144"/>
        <v>1502121.8110200004</v>
      </c>
      <c r="AT133" s="12" t="e">
        <f t="shared" si="144"/>
        <v>#REF!</v>
      </c>
      <c r="AU133" s="36" t="e">
        <f t="shared" si="123"/>
        <v>#REF!</v>
      </c>
      <c r="AV133" s="12">
        <f t="shared" si="124"/>
        <v>4336.2120225063991</v>
      </c>
      <c r="AW133" s="36">
        <f t="shared" si="125"/>
        <v>2.8950819298895225E-3</v>
      </c>
      <c r="AX133" s="137"/>
      <c r="AY133" s="139">
        <f t="shared" ref="AY133:BA133" si="145">SUM(AY120:AY131)</f>
        <v>1534329.0955599998</v>
      </c>
      <c r="AZ133" s="139">
        <f t="shared" si="145"/>
        <v>10925.095559999983</v>
      </c>
      <c r="BA133" s="139">
        <f t="shared" si="145"/>
        <v>13881.307582506059</v>
      </c>
      <c r="BB133" s="139">
        <f>SUM(BB120:BB131)</f>
        <v>1511666.90658</v>
      </c>
      <c r="BC133" s="137">
        <f t="shared" ref="BC133" si="146">(BB133-AF133)/AF133</f>
        <v>9.2678869337487896E-3</v>
      </c>
      <c r="BD133" s="139">
        <f t="shared" ref="BD133" si="147">SUM(BD120:BD131)</f>
        <v>27751.602999999999</v>
      </c>
      <c r="BE133" s="15">
        <f>BD133/AY133</f>
        <v>1.8087125558856207E-2</v>
      </c>
      <c r="BF133" s="15">
        <f>(BB133-X133)/X133</f>
        <v>-3.2172583508904389E-2</v>
      </c>
      <c r="BI133" s="28">
        <f>SUM(BI120:BI132)</f>
        <v>1485842</v>
      </c>
      <c r="BJ133" s="139">
        <f t="shared" si="138"/>
        <v>-48487.095559999812</v>
      </c>
      <c r="BK133" s="28">
        <f>SUM(BK120:BK132)</f>
        <v>1490324</v>
      </c>
      <c r="BL133" s="564">
        <f>SUM(BL120:BL132)</f>
        <v>1557586.1806060302</v>
      </c>
      <c r="BM133" s="62">
        <f t="shared" si="140"/>
        <v>59800.581608536188</v>
      </c>
      <c r="BN133" s="15">
        <f>BM133/AF133</f>
        <v>3.992599584918044E-2</v>
      </c>
      <c r="BO133" s="12">
        <f>'FY 2013 by Agency'!AX133*Inflator!$E$13</f>
        <v>1579019.5959719259</v>
      </c>
      <c r="BP133" s="12">
        <f t="shared" si="74"/>
        <v>81233.99697443191</v>
      </c>
      <c r="BQ133" s="15">
        <f t="shared" si="75"/>
        <v>5.423606491396625E-2</v>
      </c>
      <c r="BR133" s="30">
        <f>SUM(BR120:BR132)</f>
        <v>1627026.1188414453</v>
      </c>
      <c r="BS133" s="12">
        <f t="shared" si="76"/>
        <v>48006.522869519424</v>
      </c>
      <c r="BT133" s="15">
        <f t="shared" si="77"/>
        <v>3.0402740404225453E-2</v>
      </c>
      <c r="BU133" s="12">
        <f>SUM(BU120:BU132)</f>
        <v>1630834.0298596597</v>
      </c>
      <c r="BV133" s="62">
        <f t="shared" si="141"/>
        <v>73247.849253629567</v>
      </c>
      <c r="BW133" s="30">
        <f>SUM(BW120:BW132)</f>
        <v>1661274</v>
      </c>
      <c r="BX133" s="12">
        <f>SUM(BX120:BX132)</f>
        <v>1714585.9500000002</v>
      </c>
      <c r="BY133" s="684">
        <f>SUM(BY120:BY131)</f>
        <v>1667784</v>
      </c>
      <c r="BZ133" s="39">
        <f t="shared" si="72"/>
        <v>34247.881158554694</v>
      </c>
      <c r="CA133" s="51">
        <f t="shared" si="73"/>
        <v>2.1049373923352592E-2</v>
      </c>
      <c r="CC133" s="39"/>
      <c r="CD133" s="13">
        <f>CC133/BR133</f>
        <v>0</v>
      </c>
    </row>
    <row r="134" spans="1:82" s="13" customFormat="1" ht="18" customHeight="1">
      <c r="A134" s="64"/>
      <c r="B134" s="322"/>
      <c r="C134" s="322"/>
      <c r="D134" s="322"/>
      <c r="E134" s="351"/>
      <c r="F134" s="10"/>
      <c r="G134" s="10"/>
      <c r="H134" s="14"/>
      <c r="I134" s="10"/>
      <c r="J134" s="10"/>
      <c r="K134" s="14"/>
      <c r="L134" s="10"/>
      <c r="M134" s="10"/>
      <c r="N134" s="14"/>
      <c r="O134" s="10"/>
      <c r="P134" s="12"/>
      <c r="Q134" s="36"/>
      <c r="R134" s="52"/>
      <c r="S134" s="12"/>
      <c r="T134" s="36"/>
      <c r="U134" s="52"/>
      <c r="V134" s="12"/>
      <c r="W134" s="45"/>
      <c r="X134" s="52"/>
      <c r="Y134" s="12"/>
      <c r="Z134" s="36"/>
      <c r="AA134" s="52"/>
      <c r="AB134" s="12"/>
      <c r="AC134" s="36"/>
      <c r="AD134" s="52" t="e">
        <f>'FY 2013 by Agency'!AD134*Inflator!#REF!</f>
        <v>#REF!</v>
      </c>
      <c r="AE134" s="12"/>
      <c r="AF134" s="52"/>
      <c r="AG134" s="52"/>
      <c r="AH134" s="58"/>
      <c r="AI134" s="12"/>
      <c r="AJ134" s="12"/>
      <c r="AK134" s="12"/>
      <c r="AL134" s="12"/>
      <c r="AM134" s="12"/>
      <c r="AN134" s="12"/>
      <c r="AO134" s="12"/>
      <c r="AP134" s="12"/>
      <c r="AQ134" s="12"/>
      <c r="AR134" s="12"/>
      <c r="AS134" s="12"/>
      <c r="AT134" s="12"/>
      <c r="AU134" s="36"/>
      <c r="AV134" s="12"/>
      <c r="AW134" s="36"/>
      <c r="AX134" s="241"/>
      <c r="AY134" s="241"/>
      <c r="AZ134" s="78">
        <f>+AZ133+AS133</f>
        <v>1513046.9065800004</v>
      </c>
      <c r="BA134" s="241"/>
      <c r="BB134" s="241"/>
      <c r="BC134" s="241"/>
      <c r="BD134" s="296"/>
      <c r="BE134" s="303"/>
      <c r="BI134" s="28"/>
      <c r="BK134" s="319"/>
      <c r="BL134" s="567"/>
      <c r="BM134" s="256"/>
      <c r="BN134" s="287"/>
      <c r="BP134" s="52"/>
      <c r="BQ134" s="50"/>
      <c r="BR134" s="52"/>
      <c r="BS134" s="52"/>
      <c r="BT134" s="50"/>
      <c r="BU134" s="256"/>
      <c r="BV134" s="256"/>
      <c r="BW134" s="39"/>
      <c r="BY134" s="534"/>
      <c r="BZ134" s="39">
        <f t="shared" si="72"/>
        <v>0</v>
      </c>
      <c r="CA134" s="51" t="e">
        <f t="shared" si="73"/>
        <v>#DIV/0!</v>
      </c>
      <c r="CC134" s="39"/>
    </row>
    <row r="135" spans="1:82" s="13" customFormat="1" ht="18" customHeight="1">
      <c r="A135" s="64"/>
      <c r="B135" s="322"/>
      <c r="C135" s="322"/>
      <c r="D135" s="322"/>
      <c r="E135" s="351"/>
      <c r="F135" s="10"/>
      <c r="G135" s="10"/>
      <c r="H135" s="14"/>
      <c r="I135" s="10"/>
      <c r="J135" s="10"/>
      <c r="K135" s="14"/>
      <c r="L135" s="10"/>
      <c r="M135" s="10"/>
      <c r="N135" s="14"/>
      <c r="O135" s="10"/>
      <c r="P135" s="12"/>
      <c r="Q135" s="36"/>
      <c r="R135" s="52"/>
      <c r="S135" s="12"/>
      <c r="T135" s="36"/>
      <c r="U135" s="52"/>
      <c r="V135" s="12"/>
      <c r="W135" s="45"/>
      <c r="X135" s="52"/>
      <c r="Y135" s="12"/>
      <c r="Z135" s="36"/>
      <c r="AA135" s="52"/>
      <c r="AB135" s="12"/>
      <c r="AC135" s="36"/>
      <c r="AD135" s="52" t="e">
        <f>'FY 2013 by Agency'!AD135*Inflator!#REF!</f>
        <v>#REF!</v>
      </c>
      <c r="AE135" s="12"/>
      <c r="AF135" s="52"/>
      <c r="AG135" s="52"/>
      <c r="AH135" s="58"/>
      <c r="AI135" s="12"/>
      <c r="AJ135" s="12"/>
      <c r="AK135" s="12"/>
      <c r="AL135" s="12"/>
      <c r="AM135" s="12"/>
      <c r="AN135" s="12"/>
      <c r="AO135" s="12"/>
      <c r="AP135" s="12"/>
      <c r="AQ135" s="12"/>
      <c r="AR135" s="12"/>
      <c r="AS135" s="12"/>
      <c r="AT135" s="12" t="e">
        <f>AR133-AD135</f>
        <v>#REF!</v>
      </c>
      <c r="AU135" s="36" t="e">
        <f>AT135/AD135</f>
        <v>#REF!</v>
      </c>
      <c r="AV135" s="12">
        <f>AS133-AF135</f>
        <v>1502121.8110200004</v>
      </c>
      <c r="AW135" s="97" t="e">
        <f>AV135/AF135</f>
        <v>#DIV/0!</v>
      </c>
      <c r="AX135" s="241"/>
      <c r="AY135" s="241"/>
      <c r="AZ135" s="78">
        <f>+AZ134-AF135</f>
        <v>1513046.9065800004</v>
      </c>
      <c r="BA135" s="241"/>
      <c r="BB135" s="241"/>
      <c r="BC135" s="241"/>
      <c r="BD135" s="296"/>
      <c r="BE135" s="303"/>
      <c r="BI135" s="28"/>
      <c r="BK135" s="319"/>
      <c r="BL135" s="567"/>
      <c r="BM135" s="256"/>
      <c r="BN135" s="287"/>
      <c r="BP135" s="52"/>
      <c r="BQ135" s="50"/>
      <c r="BR135" s="52"/>
      <c r="BS135" s="52"/>
      <c r="BT135" s="50"/>
      <c r="BU135" s="256"/>
      <c r="BV135" s="256"/>
      <c r="BW135" s="39"/>
      <c r="BY135" s="534"/>
      <c r="BZ135" s="39">
        <f t="shared" si="72"/>
        <v>0</v>
      </c>
      <c r="CA135" s="51" t="e">
        <f t="shared" si="73"/>
        <v>#DIV/0!</v>
      </c>
      <c r="CC135" s="39"/>
    </row>
    <row r="136" spans="1:82" s="13" customFormat="1" ht="19.5" customHeight="1">
      <c r="A136" s="64"/>
      <c r="B136" s="322"/>
      <c r="C136" s="322"/>
      <c r="D136" s="322"/>
      <c r="E136" s="351"/>
      <c r="F136" s="10"/>
      <c r="G136" s="10"/>
      <c r="H136" s="14"/>
      <c r="I136" s="10"/>
      <c r="J136" s="10"/>
      <c r="K136" s="14"/>
      <c r="L136" s="10"/>
      <c r="M136" s="10"/>
      <c r="N136" s="14"/>
      <c r="O136" s="10"/>
      <c r="P136" s="12"/>
      <c r="Q136" s="36"/>
      <c r="R136" s="52"/>
      <c r="S136" s="12"/>
      <c r="T136" s="36"/>
      <c r="U136" s="52"/>
      <c r="V136" s="12"/>
      <c r="W136" s="36"/>
      <c r="X136" s="52"/>
      <c r="Y136" s="58"/>
      <c r="Z136" s="58"/>
      <c r="AA136" s="52"/>
      <c r="AC136" s="28"/>
      <c r="AD136" s="52" t="e">
        <f>'FY 2013 by Agency'!AD136*Inflator!#REF!</f>
        <v>#REF!</v>
      </c>
      <c r="AE136" s="180"/>
      <c r="AF136" s="163"/>
      <c r="AG136" s="163"/>
      <c r="AH136" s="163"/>
      <c r="AI136" s="163"/>
      <c r="AM136" s="84"/>
      <c r="AN136" s="172"/>
      <c r="AO136" s="97"/>
      <c r="AP136" s="12"/>
      <c r="AQ136" s="12"/>
      <c r="AR136" s="12"/>
      <c r="AS136" s="52"/>
      <c r="AT136" s="52"/>
      <c r="AU136" s="30"/>
      <c r="AV136" s="97"/>
      <c r="AW136" s="136"/>
      <c r="AZ136" s="36" t="e">
        <f>+AZ135/AF135</f>
        <v>#DIV/0!</v>
      </c>
      <c r="BD136" s="292"/>
      <c r="BE136" s="300"/>
      <c r="BI136" s="28"/>
      <c r="BK136" s="319"/>
      <c r="BL136" s="567"/>
      <c r="BM136" s="256"/>
      <c r="BN136" s="287"/>
      <c r="BP136" s="52"/>
      <c r="BQ136" s="50"/>
      <c r="BR136" s="52"/>
      <c r="BS136" s="52"/>
      <c r="BT136" s="50"/>
      <c r="BU136" s="256"/>
      <c r="BV136" s="256"/>
      <c r="BW136" s="39"/>
      <c r="BX136" s="12"/>
      <c r="BY136" s="534"/>
      <c r="BZ136" s="39">
        <f t="shared" ref="BZ136:BZ199" si="148">BW136-BR136</f>
        <v>0</v>
      </c>
      <c r="CA136" s="51" t="e">
        <f t="shared" ref="CA136:CA199" si="149">BZ136/BR136</f>
        <v>#DIV/0!</v>
      </c>
      <c r="CC136" s="39"/>
    </row>
    <row r="137" spans="1:82" ht="18" customHeight="1">
      <c r="A137" s="73" t="s">
        <v>122</v>
      </c>
      <c r="B137" s="322"/>
      <c r="C137" s="322"/>
      <c r="D137" s="322"/>
      <c r="E137" s="351"/>
      <c r="F137" s="10"/>
      <c r="G137" s="10"/>
      <c r="H137" s="14"/>
      <c r="I137" s="10"/>
      <c r="J137" s="10"/>
      <c r="K137" s="14"/>
      <c r="L137" s="10"/>
      <c r="M137" s="10"/>
      <c r="N137" s="14"/>
      <c r="O137" s="10"/>
      <c r="Q137" s="58"/>
      <c r="R137" s="52"/>
      <c r="S137" s="52"/>
      <c r="T137" s="58"/>
      <c r="U137" s="52"/>
      <c r="V137" s="52"/>
      <c r="W137" s="58"/>
      <c r="X137" s="52"/>
      <c r="Y137" s="52"/>
      <c r="Z137" s="52"/>
      <c r="AA137" s="52"/>
      <c r="AD137" s="52" t="e">
        <f>'FY 2013 by Agency'!AD137*Inflator!#REF!</f>
        <v>#REF!</v>
      </c>
      <c r="AI137" s="157"/>
      <c r="AM137" s="84"/>
      <c r="AN137" s="172"/>
      <c r="AZ137" s="65"/>
      <c r="BD137" s="289"/>
      <c r="BI137" s="65"/>
      <c r="BL137" s="568"/>
      <c r="BN137" s="51"/>
      <c r="BP137" s="52"/>
      <c r="BR137" s="52"/>
      <c r="BS137" s="52"/>
      <c r="BW137" s="39"/>
      <c r="BY137" s="534"/>
      <c r="BZ137" s="39">
        <f t="shared" si="148"/>
        <v>0</v>
      </c>
      <c r="CA137" s="51" t="e">
        <f t="shared" si="149"/>
        <v>#DIV/0!</v>
      </c>
      <c r="CC137" s="39"/>
    </row>
    <row r="138" spans="1:82" ht="18" customHeight="1">
      <c r="A138" s="73" t="s">
        <v>183</v>
      </c>
      <c r="B138" s="322"/>
      <c r="C138" s="322"/>
      <c r="D138" s="322"/>
      <c r="E138" s="351"/>
      <c r="F138" s="10"/>
      <c r="G138" s="10"/>
      <c r="H138" s="14"/>
      <c r="I138" s="10"/>
      <c r="J138" s="10"/>
      <c r="K138" s="14"/>
      <c r="L138" s="10"/>
      <c r="M138" s="10"/>
      <c r="N138" s="14"/>
      <c r="O138" s="10"/>
      <c r="Q138" s="58"/>
      <c r="R138" s="52"/>
      <c r="S138" s="52"/>
      <c r="T138" s="58"/>
      <c r="U138" s="52"/>
      <c r="V138" s="52"/>
      <c r="W138" s="58"/>
      <c r="X138" s="52"/>
      <c r="AA138" s="52"/>
      <c r="AD138" s="52"/>
      <c r="AI138" s="157"/>
      <c r="AM138" s="84"/>
      <c r="AN138" s="172"/>
      <c r="AZ138" s="65"/>
      <c r="BD138" s="289"/>
      <c r="BI138" s="65"/>
      <c r="BL138" s="568"/>
      <c r="BN138" s="51"/>
      <c r="BP138" s="52"/>
      <c r="BR138" s="52"/>
      <c r="BS138" s="52"/>
      <c r="BW138" s="39"/>
      <c r="BY138" s="534"/>
      <c r="BZ138" s="39">
        <f t="shared" si="148"/>
        <v>0</v>
      </c>
      <c r="CA138" s="51" t="e">
        <f t="shared" si="149"/>
        <v>#DIV/0!</v>
      </c>
      <c r="CC138" s="39"/>
    </row>
    <row r="139" spans="1:82" ht="18" customHeight="1">
      <c r="A139" s="73" t="s">
        <v>135</v>
      </c>
      <c r="B139" s="322"/>
      <c r="C139" s="322"/>
      <c r="D139" s="322"/>
      <c r="E139" s="351"/>
      <c r="F139" s="10"/>
      <c r="G139" s="10"/>
      <c r="H139" s="14"/>
      <c r="I139" s="10"/>
      <c r="J139" s="10"/>
      <c r="K139" s="14"/>
      <c r="L139" s="10"/>
      <c r="M139" s="10"/>
      <c r="N139" s="14"/>
      <c r="O139" s="10"/>
      <c r="P139" s="63"/>
      <c r="Q139" s="72"/>
      <c r="R139" s="52"/>
      <c r="S139" s="52"/>
      <c r="T139" s="58"/>
      <c r="U139" s="52"/>
      <c r="V139" s="52"/>
      <c r="W139" s="58"/>
      <c r="X139" s="52"/>
      <c r="AA139" s="52"/>
      <c r="AD139" s="52"/>
      <c r="AI139" s="157"/>
      <c r="AM139" s="84"/>
      <c r="AN139" s="172"/>
      <c r="AZ139" s="65"/>
      <c r="BD139" s="289"/>
      <c r="BI139" s="65"/>
      <c r="BL139" s="568"/>
      <c r="BN139" s="51"/>
      <c r="BP139" s="52"/>
      <c r="BR139" s="52"/>
      <c r="BS139" s="52"/>
      <c r="BW139" s="39"/>
      <c r="BY139" s="534"/>
      <c r="BZ139" s="39">
        <f t="shared" si="148"/>
        <v>0</v>
      </c>
      <c r="CA139" s="51" t="e">
        <f t="shared" si="149"/>
        <v>#DIV/0!</v>
      </c>
      <c r="CC139" s="39"/>
    </row>
    <row r="140" spans="1:82" ht="18" customHeight="1">
      <c r="A140" s="73" t="s">
        <v>179</v>
      </c>
      <c r="B140" s="322"/>
      <c r="C140" s="322"/>
      <c r="D140" s="322"/>
      <c r="E140" s="351"/>
      <c r="F140" s="10"/>
      <c r="G140" s="10"/>
      <c r="H140" s="14"/>
      <c r="I140" s="10"/>
      <c r="J140" s="10"/>
      <c r="K140" s="14"/>
      <c r="L140" s="10"/>
      <c r="M140" s="10"/>
      <c r="N140" s="14"/>
      <c r="O140" s="10"/>
      <c r="P140" s="63"/>
      <c r="Q140" s="72"/>
      <c r="R140" s="52"/>
      <c r="S140" s="52"/>
      <c r="T140" s="58"/>
      <c r="U140" s="52"/>
      <c r="V140" s="52"/>
      <c r="W140" s="58"/>
      <c r="X140" s="52"/>
      <c r="AA140" s="52"/>
      <c r="AD140" s="52"/>
      <c r="AI140" s="157"/>
      <c r="AM140" s="84"/>
      <c r="AN140" s="172"/>
      <c r="AZ140" s="65"/>
      <c r="BD140" s="289"/>
      <c r="BI140" s="65"/>
      <c r="BL140" s="568"/>
      <c r="BN140" s="51"/>
      <c r="BP140" s="52"/>
      <c r="BR140" s="52"/>
      <c r="BS140" s="52"/>
      <c r="BW140" s="39"/>
      <c r="BY140" s="534"/>
      <c r="BZ140" s="39">
        <f t="shared" si="148"/>
        <v>0</v>
      </c>
      <c r="CA140" s="51" t="e">
        <f t="shared" si="149"/>
        <v>#DIV/0!</v>
      </c>
      <c r="CC140" s="39"/>
    </row>
    <row r="141" spans="1:82" ht="18" customHeight="1">
      <c r="A141" s="73" t="s">
        <v>181</v>
      </c>
      <c r="B141" s="322"/>
      <c r="C141" s="322"/>
      <c r="D141" s="322"/>
      <c r="E141" s="351"/>
      <c r="F141" s="10"/>
      <c r="G141" s="10"/>
      <c r="H141" s="14"/>
      <c r="I141" s="10"/>
      <c r="J141" s="10"/>
      <c r="K141" s="14"/>
      <c r="L141" s="10"/>
      <c r="M141" s="10"/>
      <c r="N141" s="14"/>
      <c r="O141" s="10"/>
      <c r="P141" s="63"/>
      <c r="Q141" s="72"/>
      <c r="R141" s="52"/>
      <c r="S141" s="52"/>
      <c r="T141" s="58"/>
      <c r="U141" s="52"/>
      <c r="V141" s="52"/>
      <c r="W141" s="58"/>
      <c r="X141" s="52"/>
      <c r="AA141" s="52"/>
      <c r="AD141" s="52"/>
      <c r="AI141" s="157"/>
      <c r="AM141" s="84"/>
      <c r="AN141" s="172"/>
      <c r="AZ141" s="65"/>
      <c r="BD141" s="289"/>
      <c r="BI141" s="65"/>
      <c r="BL141" s="568"/>
      <c r="BN141" s="51"/>
      <c r="BP141" s="52"/>
      <c r="BR141" s="52"/>
      <c r="BS141" s="52"/>
      <c r="BW141" s="39"/>
      <c r="BY141" s="534"/>
      <c r="BZ141" s="39">
        <f t="shared" si="148"/>
        <v>0</v>
      </c>
      <c r="CA141" s="51" t="e">
        <f t="shared" si="149"/>
        <v>#DIV/0!</v>
      </c>
      <c r="CC141" s="39"/>
    </row>
    <row r="142" spans="1:82" ht="18" customHeight="1">
      <c r="A142" s="73" t="s">
        <v>136</v>
      </c>
      <c r="B142" s="322"/>
      <c r="C142" s="322"/>
      <c r="D142" s="322"/>
      <c r="E142" s="351"/>
      <c r="F142" s="10"/>
      <c r="G142" s="10"/>
      <c r="H142" s="14"/>
      <c r="I142" s="10"/>
      <c r="J142" s="10"/>
      <c r="K142" s="14"/>
      <c r="L142" s="10"/>
      <c r="M142" s="10"/>
      <c r="N142" s="14"/>
      <c r="O142" s="10"/>
      <c r="P142" s="63"/>
      <c r="Q142" s="72"/>
      <c r="R142" s="52"/>
      <c r="S142" s="52"/>
      <c r="T142" s="58"/>
      <c r="U142" s="52"/>
      <c r="V142" s="52"/>
      <c r="W142" s="58"/>
      <c r="X142" s="52"/>
      <c r="AA142" s="52"/>
      <c r="AD142" s="52"/>
      <c r="AI142" s="157"/>
      <c r="AM142" s="84"/>
      <c r="AN142" s="172"/>
      <c r="AZ142" s="65"/>
      <c r="BD142" s="289"/>
      <c r="BI142" s="65"/>
      <c r="BL142" s="568"/>
      <c r="BN142" s="51"/>
      <c r="BP142" s="52"/>
      <c r="BR142" s="52"/>
      <c r="BS142" s="52"/>
      <c r="BW142" s="39"/>
      <c r="BY142" s="534"/>
      <c r="BZ142" s="39">
        <f t="shared" si="148"/>
        <v>0</v>
      </c>
      <c r="CA142" s="51" t="e">
        <f t="shared" si="149"/>
        <v>#DIV/0!</v>
      </c>
      <c r="CC142" s="39"/>
    </row>
    <row r="143" spans="1:82" ht="18" customHeight="1">
      <c r="A143" s="73" t="s">
        <v>185</v>
      </c>
      <c r="B143" s="322"/>
      <c r="C143" s="322"/>
      <c r="D143" s="322"/>
      <c r="E143" s="351"/>
      <c r="F143" s="10"/>
      <c r="G143" s="10"/>
      <c r="H143" s="14"/>
      <c r="I143" s="10"/>
      <c r="J143" s="10"/>
      <c r="K143" s="14"/>
      <c r="L143" s="10"/>
      <c r="M143" s="10"/>
      <c r="N143" s="14"/>
      <c r="O143" s="10"/>
      <c r="P143" s="63"/>
      <c r="Q143" s="72"/>
      <c r="R143" s="52"/>
      <c r="S143" s="52"/>
      <c r="T143" s="58"/>
      <c r="U143" s="52"/>
      <c r="V143" s="52"/>
      <c r="W143" s="58"/>
      <c r="X143" s="52"/>
      <c r="AA143" s="52"/>
      <c r="AD143" s="52"/>
      <c r="AI143" s="157"/>
      <c r="AM143" s="84"/>
      <c r="AN143" s="172"/>
      <c r="AZ143" s="65"/>
      <c r="BD143" s="289"/>
      <c r="BI143" s="65"/>
      <c r="BL143" s="568"/>
      <c r="BN143" s="51"/>
      <c r="BP143" s="52"/>
      <c r="BR143" s="52"/>
      <c r="BS143" s="52"/>
      <c r="BW143" s="39"/>
      <c r="BY143" s="534"/>
      <c r="BZ143" s="39">
        <f t="shared" si="148"/>
        <v>0</v>
      </c>
      <c r="CA143" s="51" t="e">
        <f t="shared" si="149"/>
        <v>#DIV/0!</v>
      </c>
      <c r="CC143" s="39"/>
    </row>
    <row r="144" spans="1:82" ht="18" customHeight="1">
      <c r="A144" s="73"/>
      <c r="B144" s="322"/>
      <c r="C144" s="322"/>
      <c r="D144" s="322"/>
      <c r="E144" s="351"/>
      <c r="F144" s="10"/>
      <c r="G144" s="10"/>
      <c r="H144" s="14"/>
      <c r="I144" s="10"/>
      <c r="J144" s="10"/>
      <c r="K144" s="14"/>
      <c r="L144" s="10"/>
      <c r="M144" s="10"/>
      <c r="N144" s="14"/>
      <c r="O144" s="10"/>
      <c r="P144" s="63"/>
      <c r="Q144" s="72"/>
      <c r="R144" s="52"/>
      <c r="S144" s="52"/>
      <c r="T144" s="58"/>
      <c r="U144" s="52"/>
      <c r="V144" s="52"/>
      <c r="W144" s="58"/>
      <c r="X144" s="256">
        <f>618966/X163</f>
        <v>1.0000002832042367</v>
      </c>
      <c r="AA144" s="52"/>
      <c r="AD144" s="52"/>
      <c r="AI144" s="157"/>
      <c r="AM144" s="84"/>
      <c r="AN144" s="172"/>
      <c r="AZ144" s="65"/>
      <c r="BD144" s="289"/>
      <c r="BI144" s="65"/>
      <c r="BL144" s="568"/>
      <c r="BN144" s="51"/>
      <c r="BP144" s="52"/>
      <c r="BR144" s="52"/>
      <c r="BS144" s="52"/>
      <c r="BU144" s="361"/>
      <c r="BV144" s="256"/>
      <c r="BW144" s="39"/>
      <c r="BY144" s="534"/>
      <c r="BZ144" s="39">
        <f t="shared" si="148"/>
        <v>0</v>
      </c>
      <c r="CA144" s="51" t="e">
        <f t="shared" si="149"/>
        <v>#DIV/0!</v>
      </c>
      <c r="CC144" s="39"/>
    </row>
    <row r="145" spans="1:81" s="109" customFormat="1" ht="18" customHeight="1">
      <c r="A145" s="116" t="s">
        <v>68</v>
      </c>
      <c r="B145" s="354"/>
      <c r="C145" s="354"/>
      <c r="D145" s="354"/>
      <c r="E145" s="357"/>
      <c r="F145" s="358"/>
      <c r="G145" s="358"/>
      <c r="H145" s="360"/>
      <c r="I145" s="358"/>
      <c r="J145" s="358"/>
      <c r="K145" s="360"/>
      <c r="L145" s="358"/>
      <c r="M145" s="358"/>
      <c r="N145" s="360"/>
      <c r="O145" s="358"/>
      <c r="P145" s="105"/>
      <c r="Q145" s="117"/>
      <c r="R145" s="107"/>
      <c r="S145" s="107"/>
      <c r="T145" s="125"/>
      <c r="U145" s="107"/>
      <c r="V145" s="107"/>
      <c r="W145" s="125"/>
      <c r="X145" s="107"/>
      <c r="AA145" s="107"/>
      <c r="AC145" s="110"/>
      <c r="AD145" s="107"/>
      <c r="AE145" s="175"/>
      <c r="AF145" s="158"/>
      <c r="AG145" s="158"/>
      <c r="AH145" s="158"/>
      <c r="AI145" s="158"/>
      <c r="AM145" s="123"/>
      <c r="AN145" s="170"/>
      <c r="AO145" s="113"/>
      <c r="AP145" s="107"/>
      <c r="AQ145" s="107"/>
      <c r="AR145" s="107"/>
      <c r="AS145" s="107"/>
      <c r="AT145" s="107"/>
      <c r="AU145" s="200"/>
      <c r="AV145" s="114"/>
      <c r="AW145" s="107"/>
      <c r="AY145" s="248"/>
      <c r="AZ145" s="286"/>
      <c r="BA145" s="248"/>
      <c r="BB145" s="248"/>
      <c r="BC145" s="248"/>
      <c r="BD145" s="290"/>
      <c r="BE145" s="298"/>
      <c r="BI145" s="110"/>
      <c r="BK145" s="316"/>
      <c r="BL145" s="577"/>
      <c r="BM145" s="107"/>
      <c r="BN145" s="108"/>
      <c r="BP145" s="107"/>
      <c r="BR145" s="107"/>
      <c r="BS145" s="107"/>
      <c r="BU145" s="107"/>
      <c r="BV145" s="107"/>
      <c r="BW145" s="554"/>
      <c r="BY145" s="680"/>
      <c r="BZ145" s="39">
        <f t="shared" si="148"/>
        <v>0</v>
      </c>
      <c r="CA145" s="51" t="e">
        <f t="shared" si="149"/>
        <v>#DIV/0!</v>
      </c>
      <c r="CC145" s="39"/>
    </row>
    <row r="146" spans="1:81" ht="18" customHeight="1">
      <c r="A146" s="59" t="s">
        <v>70</v>
      </c>
      <c r="B146" s="322">
        <f>'FY 2013 by Agency'!B146*Inflator!$E$2</f>
        <v>138159.59090909091</v>
      </c>
      <c r="C146" s="322">
        <f>'FY 2013 by Agency'!C146*Inflator!$E$3</f>
        <v>134093.64064914992</v>
      </c>
      <c r="D146" s="322">
        <f t="shared" ref="D146:D203" si="150">C146-B146</f>
        <v>-4065.9502599409898</v>
      </c>
      <c r="E146" s="351">
        <f t="shared" ref="E146:E201" si="151">(C146-B146)/B146</f>
        <v>-2.9429373908731297E-2</v>
      </c>
      <c r="F146" s="10">
        <f>'FY 2013 by Agency'!F146*Inflator!$E$4</f>
        <v>131572.57784545107</v>
      </c>
      <c r="G146" s="10">
        <f t="shared" ref="G146:G203" si="152">F146-C146</f>
        <v>-2521.0628036988492</v>
      </c>
      <c r="H146" s="14">
        <f t="shared" ref="H146:H202" si="153">(F146-C146)/C146</f>
        <v>-1.8800763343394474E-2</v>
      </c>
      <c r="I146" s="10">
        <f>'FY 2013 by Agency'!I146*Inflator!$E$5</f>
        <v>187034.05801413168</v>
      </c>
      <c r="J146" s="10">
        <f t="shared" ref="J146:J203" si="154">I146-F146</f>
        <v>55461.480168680602</v>
      </c>
      <c r="K146" s="14">
        <f t="shared" ref="K146:K202" si="155">(I146-F146)/F146</f>
        <v>0.42152765475057613</v>
      </c>
      <c r="L146" s="10">
        <f>'FY 2013 by Agency'!L146*Inflator!$E$6</f>
        <v>188932.99963649581</v>
      </c>
      <c r="M146" s="10">
        <f t="shared" ref="M146:M203" si="156">L146-I146</f>
        <v>1898.941622364131</v>
      </c>
      <c r="N146" s="14">
        <f t="shared" ref="N146:N202" si="157">(L146-I146)/I146</f>
        <v>1.0152918898977497E-2</v>
      </c>
      <c r="O146" s="10">
        <f>'FY 2013 by Agency'!O146*Inflator!$E$7</f>
        <v>199636.38718760997</v>
      </c>
      <c r="P146" s="52">
        <f>O146-L146</f>
        <v>10703.387551114167</v>
      </c>
      <c r="Q146" s="58">
        <f>P146/L146</f>
        <v>5.6651763173756413E-2</v>
      </c>
      <c r="R146" s="52">
        <f>'FY 2013 by Agency'!R146*Inflator!$E$8</f>
        <v>73844.791581805839</v>
      </c>
      <c r="S146" s="52">
        <f t="shared" ref="S146:S166" si="158">R146-O146</f>
        <v>-125791.59560580413</v>
      </c>
      <c r="T146" s="58">
        <f>S146/O146</f>
        <v>-0.6301035466424787</v>
      </c>
      <c r="U146" s="52">
        <f>'FY 2013 by Agency'!U146*Inflator!$E$9</f>
        <v>166738.59814323607</v>
      </c>
      <c r="V146" s="52">
        <f>U146-R146</f>
        <v>92893.806561430232</v>
      </c>
      <c r="W146" s="58">
        <f>V146/R146</f>
        <v>1.2579601698587197</v>
      </c>
      <c r="X146" s="52">
        <f>'FY 2013 by Agency'!X146*Inflator!$E$10</f>
        <v>151770.49920609719</v>
      </c>
      <c r="Y146" s="39">
        <f>X146-U146</f>
        <v>-14968.098937138886</v>
      </c>
      <c r="Z146" s="58">
        <f>Y146/U146</f>
        <v>-8.9769849955680964E-2</v>
      </c>
      <c r="AA146" s="52">
        <f>'FY 2013 by Agency'!AA146*Inflator!$E$11</f>
        <v>185847.54252946802</v>
      </c>
      <c r="AB146" s="39">
        <f t="shared" ref="AB146:AB164" si="159">AA146-X146</f>
        <v>34077.043323370832</v>
      </c>
      <c r="AC146" s="58">
        <f t="shared" ref="AC146:AC162" si="160">AB146/X146</f>
        <v>0.22453008655585835</v>
      </c>
      <c r="AD146" s="52" t="e">
        <f>'FY 2013 by Agency'!AD146*Inflator!#REF!</f>
        <v>#REF!</v>
      </c>
      <c r="AE146" s="52">
        <f>'FY 2013 by Agency'!AE146*Inflator!$B$8</f>
        <v>0</v>
      </c>
      <c r="AF146" s="52">
        <f>'FY 2013 by Agency'!AF146*Inflator!$E$12</f>
        <v>150860.76754385966</v>
      </c>
      <c r="AG146" s="52">
        <f t="shared" ref="AG146:AG166" si="161">AF146-AA146</f>
        <v>-34986.774985608354</v>
      </c>
      <c r="AH146" s="58">
        <f t="shared" ref="AH146:AH166" si="162">AG146/AA146</f>
        <v>-0.18825524679757788</v>
      </c>
      <c r="AI146" s="52">
        <f>'FY 2013 by Agency'!AI146*Inflator!$B$8</f>
        <v>0</v>
      </c>
      <c r="AJ146" s="52">
        <f>'FY 2013 by Agency'!AJ146*Inflator!$B$8</f>
        <v>0</v>
      </c>
      <c r="AK146" s="52">
        <f>'FY 2013 by Agency'!AK146</f>
        <v>137301</v>
      </c>
      <c r="AL146" s="52">
        <f>'FY 2013 by Agency'!AL146</f>
        <v>11399</v>
      </c>
      <c r="AM146" s="52">
        <f>'FY 2013 by Agency'!AM146</f>
        <v>148700</v>
      </c>
      <c r="AN146" s="52">
        <f>'FY 2013 by Agency'!AN146</f>
        <v>143133</v>
      </c>
      <c r="AO146" s="52">
        <f>'FY 2013 by Agency'!AO146</f>
        <v>145083</v>
      </c>
      <c r="AP146" s="52">
        <f>'FY 2013 by Agency'!AP146</f>
        <v>0</v>
      </c>
      <c r="AQ146" s="52">
        <f>'FY 2013 by Agency'!AQ146</f>
        <v>425</v>
      </c>
      <c r="AR146" s="52">
        <f>'FY 2013 by Agency'!AR146</f>
        <v>425</v>
      </c>
      <c r="AS146" s="52">
        <f>'FY 2013 by Agency'!AS146</f>
        <v>138580.23599000002</v>
      </c>
      <c r="AT146" s="52" t="e">
        <f t="shared" ref="AT146:AT166" si="163">AR146-AD146</f>
        <v>#REF!</v>
      </c>
      <c r="AU146" s="58" t="e">
        <f t="shared" ref="AU146:AU166" si="164">AT146/AD146</f>
        <v>#REF!</v>
      </c>
      <c r="AV146" s="52">
        <f t="shared" ref="AV146:AV166" si="165">AS146-AF146</f>
        <v>-12280.531553859648</v>
      </c>
      <c r="AW146" s="58">
        <f t="shared" ref="AW146:AW166" si="166">AV146/AF146</f>
        <v>-8.1403082814684322E-2</v>
      </c>
      <c r="AX146" s="279" t="s">
        <v>318</v>
      </c>
      <c r="AY146" s="65">
        <v>145085</v>
      </c>
      <c r="AZ146" s="65">
        <f t="shared" ref="AZ146:AZ163" si="167">+AY146-AO146</f>
        <v>2</v>
      </c>
      <c r="BA146" s="65">
        <f t="shared" ref="BA146:BA163" si="168">+AZ146+AV146</f>
        <v>-12278.531553859648</v>
      </c>
      <c r="BB146" s="65">
        <f t="shared" ref="BB146:BB163" si="169">+AZ146+AS146</f>
        <v>138582.23599000002</v>
      </c>
      <c r="BC146" s="58">
        <f t="shared" ref="BC146:BC163" si="170">+BB146/AF146-1</f>
        <v>-8.1389825557462547E-2</v>
      </c>
      <c r="BD146" s="291">
        <v>11024.632</v>
      </c>
      <c r="BE146" s="51">
        <f>BD146/AY146</f>
        <v>7.5987400489368292E-2</v>
      </c>
      <c r="BF146" s="50">
        <v>5827</v>
      </c>
      <c r="BI146" s="65">
        <v>142325</v>
      </c>
      <c r="BJ146" s="65">
        <f>BI146-AY146</f>
        <v>-2760</v>
      </c>
      <c r="BK146" s="65">
        <f>BI146+AP146+AQ146</f>
        <v>142750</v>
      </c>
      <c r="BL146" s="568">
        <f>'FY 2013 by Agency'!AS146*Inflator!$E$13</f>
        <v>143697.17482270984</v>
      </c>
      <c r="BM146" s="52">
        <f>BL146-AF146</f>
        <v>-7163.5927211498201</v>
      </c>
      <c r="BN146" s="51">
        <f>BM146/AF146</f>
        <v>-4.7484795668079526E-2</v>
      </c>
      <c r="BO146" s="52">
        <f>'FY 2013 by Agency'!AX146*Inflator!$E$13</f>
        <v>162097.14678059204</v>
      </c>
      <c r="BP146" s="52">
        <f t="shared" ref="BP146:BP203" si="171">BO146-AF146</f>
        <v>11236.379236732377</v>
      </c>
      <c r="BQ146" s="58">
        <f t="shared" ref="BQ146:BQ203" si="172">BP146/AF146</f>
        <v>7.4481784891261615E-2</v>
      </c>
      <c r="BR146" s="52">
        <f>'FY 2013 by Agency'!BE146*Inflator!$E$14</f>
        <v>167465.89967154377</v>
      </c>
      <c r="BS146" s="52">
        <f t="shared" ref="BS146:BS203" si="173">BR146-BO146</f>
        <v>5368.7528909517277</v>
      </c>
      <c r="BT146" s="58">
        <f t="shared" ref="BT146:BT203" si="174">BS146/BO146</f>
        <v>3.3120588471669085E-2</v>
      </c>
      <c r="BU146" s="52">
        <f>'FY 2013 by Agency'!BL146*Inflator!$E$14</f>
        <v>167465.89967154377</v>
      </c>
      <c r="BV146" s="52">
        <f>BU146-BL146</f>
        <v>23768.724848833925</v>
      </c>
      <c r="BW146" s="39">
        <v>167135</v>
      </c>
      <c r="BX146" s="39">
        <f>'FY 2013 by Agency'!BW146*Inflator!E15</f>
        <v>189556</v>
      </c>
      <c r="BY146" s="534">
        <v>167135</v>
      </c>
      <c r="BZ146" s="39">
        <f t="shared" si="148"/>
        <v>-330.89967154376791</v>
      </c>
      <c r="CA146" s="51">
        <f t="shared" si="149"/>
        <v>-1.9759226934723548E-3</v>
      </c>
      <c r="CC146" s="39"/>
    </row>
    <row r="147" spans="1:81" ht="18" customHeight="1">
      <c r="A147" s="59" t="s">
        <v>97</v>
      </c>
      <c r="B147" s="322">
        <f>'FY 2013 by Agency'!B147*Inflator!$E$2</f>
        <v>102866.72727272728</v>
      </c>
      <c r="C147" s="322">
        <f>'FY 2013 by Agency'!C147*Inflator!$E$3</f>
        <v>126777.69938176198</v>
      </c>
      <c r="D147" s="322">
        <f t="shared" si="150"/>
        <v>23910.972109034701</v>
      </c>
      <c r="E147" s="351">
        <f t="shared" si="151"/>
        <v>0.23244612464086956</v>
      </c>
      <c r="F147" s="10">
        <f>'FY 2013 by Agency'!F147*Inflator!$E$4</f>
        <v>197778.60449181576</v>
      </c>
      <c r="G147" s="10">
        <f t="shared" si="152"/>
        <v>71000.905110053776</v>
      </c>
      <c r="H147" s="14">
        <f t="shared" si="153"/>
        <v>0.56004254262613506</v>
      </c>
      <c r="I147" s="10">
        <f>'FY 2013 by Agency'!I147*Inflator!$E$5</f>
        <v>178508.09817776128</v>
      </c>
      <c r="J147" s="10">
        <f t="shared" si="154"/>
        <v>-19270.506314054481</v>
      </c>
      <c r="K147" s="14">
        <f t="shared" si="155"/>
        <v>-9.7434737005902522E-2</v>
      </c>
      <c r="L147" s="10">
        <f>'FY 2013 by Agency'!L147*Inflator!$E$6</f>
        <v>156933.00472555432</v>
      </c>
      <c r="M147" s="10">
        <f t="shared" si="156"/>
        <v>-21575.093452206958</v>
      </c>
      <c r="N147" s="14">
        <f t="shared" si="157"/>
        <v>-0.12086338755747725</v>
      </c>
      <c r="O147" s="10">
        <f>'FY 2013 by Agency'!O147*Inflator!$E$7</f>
        <v>190444.68356212598</v>
      </c>
      <c r="P147" s="52">
        <f t="shared" ref="P147:P164" si="175">O147-L147</f>
        <v>33511.678836571664</v>
      </c>
      <c r="Q147" s="58">
        <f>P147/L147</f>
        <v>0.21354130633754928</v>
      </c>
      <c r="R147" s="52">
        <f>'FY 2013 by Agency'!R147*Inflator!$E$8</f>
        <v>192188.84996605566</v>
      </c>
      <c r="S147" s="52">
        <f t="shared" si="158"/>
        <v>1744.1664039296738</v>
      </c>
      <c r="T147" s="58">
        <f>S147/O147</f>
        <v>9.1583885215714093E-3</v>
      </c>
      <c r="U147" s="52">
        <f>'FY 2013 by Agency'!U147*Inflator!$E$9</f>
        <v>205024.68435013262</v>
      </c>
      <c r="V147" s="52">
        <f t="shared" ref="V147:V164" si="176">U147-R147</f>
        <v>12835.834384076967</v>
      </c>
      <c r="W147" s="58">
        <f t="shared" ref="W147:W161" si="177">V147/R147</f>
        <v>6.6787612217587167E-2</v>
      </c>
      <c r="X147" s="52">
        <f>'FY 2013 by Agency'!X147*Inflator!$E$10</f>
        <v>297233.81835503341</v>
      </c>
      <c r="Y147" s="39">
        <f t="shared" ref="Y147:Y164" si="178">X147-U147</f>
        <v>92209.134004900785</v>
      </c>
      <c r="Z147" s="58">
        <f>Y147/U147</f>
        <v>0.44974649904803593</v>
      </c>
      <c r="AA147" s="52">
        <f>'FY 2013 by Agency'!AA147*Inflator!$E$11</f>
        <v>213876.98311564195</v>
      </c>
      <c r="AB147" s="39">
        <f t="shared" si="159"/>
        <v>-83356.835239391454</v>
      </c>
      <c r="AC147" s="58">
        <f t="shared" si="160"/>
        <v>-0.2804419621586437</v>
      </c>
      <c r="AD147" s="52" t="e">
        <f>'FY 2013 by Agency'!AD147*Inflator!#REF!</f>
        <v>#REF!</v>
      </c>
      <c r="AE147" s="52">
        <f>'FY 2013 by Agency'!AE147*Inflator!$B$8</f>
        <v>0</v>
      </c>
      <c r="AF147" s="52">
        <f>'FY 2013 by Agency'!AF147*Inflator!$E$12</f>
        <v>220750.77192982458</v>
      </c>
      <c r="AG147" s="52">
        <f t="shared" si="161"/>
        <v>6873.7888141826261</v>
      </c>
      <c r="AH147" s="58">
        <f t="shared" si="162"/>
        <v>3.2138983419576342E-2</v>
      </c>
      <c r="AI147" s="52">
        <f>'FY 2013 by Agency'!AI147*Inflator!$B$8</f>
        <v>0</v>
      </c>
      <c r="AJ147" s="52">
        <f>'FY 2013 by Agency'!AJ147*Inflator!$B$8</f>
        <v>0</v>
      </c>
      <c r="AK147" s="52">
        <f>'FY 2013 by Agency'!AK147</f>
        <v>195699</v>
      </c>
      <c r="AL147" s="52">
        <f>'FY 2013 by Agency'!AL147</f>
        <v>19805</v>
      </c>
      <c r="AM147" s="52">
        <f>'FY 2013 by Agency'!AM147</f>
        <v>215504</v>
      </c>
      <c r="AN147" s="52">
        <f>'FY 2013 by Agency'!AN147</f>
        <v>193830</v>
      </c>
      <c r="AO147" s="52">
        <f>'FY 2013 by Agency'!AO147</f>
        <v>194580</v>
      </c>
      <c r="AP147" s="52">
        <f>'FY 2013 by Agency'!AP147</f>
        <v>0</v>
      </c>
      <c r="AQ147" s="52">
        <f>'FY 2013 by Agency'!AQ147</f>
        <v>268</v>
      </c>
      <c r="AR147" s="52">
        <f>'FY 2013 by Agency'!AR147</f>
        <v>268</v>
      </c>
      <c r="AS147" s="52">
        <f>'FY 2013 by Agency'!AS147</f>
        <v>189655.9473</v>
      </c>
      <c r="AT147" s="52" t="e">
        <f t="shared" si="163"/>
        <v>#REF!</v>
      </c>
      <c r="AU147" s="58" t="e">
        <f t="shared" si="164"/>
        <v>#REF!</v>
      </c>
      <c r="AV147" s="52">
        <f t="shared" si="165"/>
        <v>-31094.824629824579</v>
      </c>
      <c r="AW147" s="58">
        <f t="shared" si="166"/>
        <v>-0.14085941515850939</v>
      </c>
      <c r="AX147" s="279" t="s">
        <v>319</v>
      </c>
      <c r="AY147" s="65">
        <v>196226</v>
      </c>
      <c r="AZ147" s="65">
        <f t="shared" si="167"/>
        <v>1646</v>
      </c>
      <c r="BA147" s="65">
        <f t="shared" si="168"/>
        <v>-29448.824629824579</v>
      </c>
      <c r="BB147" s="65">
        <f t="shared" si="169"/>
        <v>191301.9473</v>
      </c>
      <c r="BC147" s="58">
        <f t="shared" si="170"/>
        <v>-0.13340304259133551</v>
      </c>
      <c r="BD147" s="291">
        <v>13961.31</v>
      </c>
      <c r="BE147" s="51">
        <f>BD147/AY147</f>
        <v>7.1149134161629948E-2</v>
      </c>
      <c r="BI147" s="65">
        <v>192346</v>
      </c>
      <c r="BJ147" s="65">
        <f t="shared" ref="BJ147:BJ164" si="179">BI147-AY147</f>
        <v>-3880</v>
      </c>
      <c r="BK147" s="65">
        <f t="shared" ref="BK147:BK163" si="180">BI147+AP147+AQ147</f>
        <v>192614</v>
      </c>
      <c r="BL147" s="568">
        <f>'FY 2013 by Agency'!AS147*Inflator!$E$13</f>
        <v>196658.80650759843</v>
      </c>
      <c r="BM147" s="52">
        <f t="shared" ref="BM147:BM166" si="181">BL147-AF147</f>
        <v>-24091.965422226145</v>
      </c>
      <c r="BN147" s="51">
        <f t="shared" ref="BN147:BN166" si="182">BM147/AF147</f>
        <v>-0.10913649457083142</v>
      </c>
      <c r="BO147" s="52">
        <f>'FY 2013 by Agency'!AX147*Inflator!$E$13</f>
        <v>199448.18675617946</v>
      </c>
      <c r="BP147" s="52">
        <f t="shared" si="171"/>
        <v>-21302.585173645115</v>
      </c>
      <c r="BQ147" s="58">
        <f t="shared" si="172"/>
        <v>-9.6500614640736504E-2</v>
      </c>
      <c r="BR147" s="52">
        <f>'FY 2013 by Agency'!BE147*Inflator!$E$14</f>
        <v>195160.25918184535</v>
      </c>
      <c r="BS147" s="52">
        <f t="shared" si="173"/>
        <v>-4287.9275743341132</v>
      </c>
      <c r="BT147" s="58">
        <f t="shared" si="174"/>
        <v>-2.1498954911914038E-2</v>
      </c>
      <c r="BU147" s="52">
        <f>'FY 2013 by Agency'!BL147*Inflator!$E$14</f>
        <v>195160.25918184535</v>
      </c>
      <c r="BV147" s="52">
        <f t="shared" ref="BV147:BV166" si="183">BU147-BL147</f>
        <v>-1498.547325753083</v>
      </c>
      <c r="BW147" s="39">
        <v>192439</v>
      </c>
      <c r="BX147" s="39">
        <f>'FY 2013 by Agency'!BW147*Inflator!E15</f>
        <v>201082</v>
      </c>
      <c r="BY147" s="534">
        <v>192353</v>
      </c>
      <c r="BZ147" s="39">
        <f t="shared" si="148"/>
        <v>-2721.2591818453511</v>
      </c>
      <c r="CA147" s="51">
        <f t="shared" si="149"/>
        <v>-1.3943715760849401E-2</v>
      </c>
      <c r="CC147" s="39"/>
    </row>
    <row r="148" spans="1:81" ht="19.5" customHeight="1">
      <c r="A148" s="59" t="s">
        <v>98</v>
      </c>
      <c r="B148" s="322">
        <f>'FY 2013 by Agency'!B148*Inflator!$E$2</f>
        <v>175039.00079744819</v>
      </c>
      <c r="C148" s="322">
        <f>'FY 2013 by Agency'!C148*Inflator!$E$3</f>
        <v>285841.65069551778</v>
      </c>
      <c r="D148" s="322">
        <f t="shared" si="150"/>
        <v>110802.64989806959</v>
      </c>
      <c r="E148" s="351">
        <f t="shared" si="151"/>
        <v>0.63301692418987421</v>
      </c>
      <c r="F148" s="10">
        <f>'FY 2013 by Agency'!F148*Inflator!$E$4</f>
        <v>230494.86410354017</v>
      </c>
      <c r="G148" s="10">
        <f t="shared" si="152"/>
        <v>-55346.786591977609</v>
      </c>
      <c r="H148" s="14">
        <f t="shared" si="153"/>
        <v>-0.19362743832925078</v>
      </c>
      <c r="I148" s="10">
        <f>'FY 2013 by Agency'!I148*Inflator!$E$5</f>
        <v>174565.4577910004</v>
      </c>
      <c r="J148" s="10">
        <f t="shared" si="154"/>
        <v>-55929.406312539766</v>
      </c>
      <c r="K148" s="14">
        <f t="shared" si="155"/>
        <v>-0.24264925177428606</v>
      </c>
      <c r="L148" s="10">
        <f>'FY 2013 by Agency'!L148*Inflator!$E$6</f>
        <v>170172.97637222827</v>
      </c>
      <c r="M148" s="10">
        <f t="shared" si="156"/>
        <v>-4392.4814187721349</v>
      </c>
      <c r="N148" s="14">
        <f t="shared" si="157"/>
        <v>-2.5162374471764403E-2</v>
      </c>
      <c r="O148" s="10">
        <f>'FY 2013 by Agency'!O148*Inflator!$E$7</f>
        <v>232200.25483984509</v>
      </c>
      <c r="P148" s="52">
        <f t="shared" si="175"/>
        <v>62027.278467616823</v>
      </c>
      <c r="Q148" s="58">
        <f>P148/L148</f>
        <v>0.36449546684745826</v>
      </c>
      <c r="R148" s="52">
        <f>'FY 2013 by Agency'!R148*Inflator!$E$8</f>
        <v>229617.60081466392</v>
      </c>
      <c r="S148" s="52">
        <f t="shared" si="158"/>
        <v>-2582.6540251811675</v>
      </c>
      <c r="T148" s="58">
        <f>S148/O148</f>
        <v>-1.1122528814460153E-2</v>
      </c>
      <c r="U148" s="52">
        <f>'FY 2013 by Agency'!U148*Inflator!$E$9</f>
        <v>221267.71021220158</v>
      </c>
      <c r="V148" s="52">
        <f t="shared" si="176"/>
        <v>-8349.8906024623429</v>
      </c>
      <c r="W148" s="58">
        <f t="shared" si="177"/>
        <v>-3.6364331709928303E-2</v>
      </c>
      <c r="X148" s="52">
        <f>'FY 2013 by Agency'!X148*Inflator!$E$10</f>
        <v>226838.35122261039</v>
      </c>
      <c r="Y148" s="39">
        <f t="shared" si="178"/>
        <v>5570.6410104088136</v>
      </c>
      <c r="Z148" s="58">
        <f>Y148/U148</f>
        <v>2.5176023221221124E-2</v>
      </c>
      <c r="AA148" s="52">
        <f>'FY 2013 by Agency'!AA148*Inflator!$E$11</f>
        <v>231267.51194647982</v>
      </c>
      <c r="AB148" s="39">
        <f t="shared" si="159"/>
        <v>4429.1607238694269</v>
      </c>
      <c r="AC148" s="58">
        <f t="shared" si="160"/>
        <v>1.9525625627223941E-2</v>
      </c>
      <c r="AD148" s="52" t="e">
        <f>'FY 2013 by Agency'!AD148*Inflator!#REF!</f>
        <v>#REF!</v>
      </c>
      <c r="AE148" s="52">
        <f>'FY 2013 by Agency'!AE148*Inflator!$B$8</f>
        <v>0</v>
      </c>
      <c r="AF148" s="52">
        <f>'FY 2013 by Agency'!AF148*Inflator!$E$12</f>
        <v>207786.84837092733</v>
      </c>
      <c r="AG148" s="52">
        <f t="shared" si="161"/>
        <v>-23480.663575552491</v>
      </c>
      <c r="AH148" s="58">
        <f t="shared" si="162"/>
        <v>-0.10153031603066846</v>
      </c>
      <c r="AI148" s="52">
        <f>'FY 2013 by Agency'!AI148*Inflator!$B$8</f>
        <v>0</v>
      </c>
      <c r="AJ148" s="52">
        <f>'FY 2013 by Agency'!AJ148*Inflator!$B$8</f>
        <v>0</v>
      </c>
      <c r="AK148" s="52">
        <f>'FY 2013 by Agency'!AK148</f>
        <v>189781</v>
      </c>
      <c r="AL148" s="52">
        <f>'FY 2013 by Agency'!AL148</f>
        <v>2420</v>
      </c>
      <c r="AM148" s="52">
        <f>'FY 2013 by Agency'!AM148</f>
        <v>192201</v>
      </c>
      <c r="AN148" s="52">
        <f>'FY 2013 by Agency'!AN148</f>
        <v>167805</v>
      </c>
      <c r="AO148" s="52">
        <f>'FY 2013 by Agency'!AO148</f>
        <v>172432</v>
      </c>
      <c r="AP148" s="52">
        <f>'FY 2013 by Agency'!AP148</f>
        <v>0</v>
      </c>
      <c r="AQ148" s="52">
        <f>'FY 2013 by Agency'!AQ148</f>
        <v>922</v>
      </c>
      <c r="AR148" s="52">
        <f>'FY 2013 by Agency'!AR148</f>
        <v>922</v>
      </c>
      <c r="AS148" s="52">
        <f>'FY 2013 by Agency'!AS148</f>
        <v>165964.76788000003</v>
      </c>
      <c r="AT148" s="52" t="e">
        <f t="shared" si="163"/>
        <v>#REF!</v>
      </c>
      <c r="AU148" s="58" t="e">
        <f t="shared" si="164"/>
        <v>#REF!</v>
      </c>
      <c r="AV148" s="52">
        <f t="shared" si="165"/>
        <v>-41822.080490927299</v>
      </c>
      <c r="AW148" s="58">
        <f t="shared" si="166"/>
        <v>-0.20127395366365675</v>
      </c>
      <c r="AX148" s="279" t="s">
        <v>320</v>
      </c>
      <c r="AY148" s="65">
        <v>173079</v>
      </c>
      <c r="AZ148" s="65">
        <f t="shared" si="167"/>
        <v>647</v>
      </c>
      <c r="BA148" s="65">
        <f t="shared" si="168"/>
        <v>-41175.080490927299</v>
      </c>
      <c r="BB148" s="65">
        <f t="shared" si="169"/>
        <v>166611.76788000003</v>
      </c>
      <c r="BC148" s="58">
        <f t="shared" si="170"/>
        <v>-0.19816018585268824</v>
      </c>
      <c r="BD148" s="291">
        <v>6205.1940000000004</v>
      </c>
      <c r="BE148" s="51">
        <f>BD148/AY148</f>
        <v>3.5851801778378663E-2</v>
      </c>
      <c r="BI148" s="65">
        <v>167274</v>
      </c>
      <c r="BJ148" s="65">
        <f t="shared" si="179"/>
        <v>-5805</v>
      </c>
      <c r="BK148" s="65">
        <f t="shared" si="180"/>
        <v>168196</v>
      </c>
      <c r="BL148" s="568">
        <f>'FY 2013 by Agency'!AS148*Inflator!$E$13</f>
        <v>172092.85360275867</v>
      </c>
      <c r="BM148" s="52">
        <f t="shared" si="181"/>
        <v>-35693.994768168661</v>
      </c>
      <c r="BN148" s="51">
        <f t="shared" si="182"/>
        <v>-0.17178178045441117</v>
      </c>
      <c r="BO148" s="52">
        <f>'FY 2013 by Agency'!AX148*Inflator!$E$13</f>
        <v>173450.42783033266</v>
      </c>
      <c r="BP148" s="52">
        <f t="shared" si="171"/>
        <v>-34336.42054059467</v>
      </c>
      <c r="BQ148" s="58">
        <f t="shared" si="172"/>
        <v>-0.16524828597091748</v>
      </c>
      <c r="BR148" s="52">
        <f>'FY 2013 by Agency'!BE148*Inflator!$E$14</f>
        <v>163962.37802329054</v>
      </c>
      <c r="BS148" s="52">
        <f t="shared" si="173"/>
        <v>-9488.0498070421163</v>
      </c>
      <c r="BT148" s="58">
        <f t="shared" si="174"/>
        <v>-5.4701795352867184E-2</v>
      </c>
      <c r="BU148" s="52">
        <f>'FY 2013 by Agency'!BL148*Inflator!$E$14</f>
        <v>163962.37802329054</v>
      </c>
      <c r="BV148" s="52">
        <f t="shared" si="183"/>
        <v>-8130.4755794681259</v>
      </c>
      <c r="BW148" s="39">
        <v>170917</v>
      </c>
      <c r="BX148" s="39">
        <f>'FY 2013 by Agency'!BW148*Inflator!E15</f>
        <v>179589</v>
      </c>
      <c r="BY148" s="534">
        <v>171917</v>
      </c>
      <c r="BZ148" s="39">
        <f t="shared" si="148"/>
        <v>6954.621976709459</v>
      </c>
      <c r="CA148" s="51">
        <f t="shared" si="149"/>
        <v>4.2415961884387697E-2</v>
      </c>
      <c r="CC148" s="39"/>
    </row>
    <row r="149" spans="1:81" ht="16.5" customHeight="1">
      <c r="A149" s="349" t="s">
        <v>397</v>
      </c>
      <c r="B149" s="322">
        <f>'FY 2013 by Agency'!B149*Inflator!$E$2</f>
        <v>0</v>
      </c>
      <c r="C149" s="322">
        <f>'FY 2013 by Agency'!C149*Inflator!$E$3</f>
        <v>0</v>
      </c>
      <c r="D149" s="325" t="s">
        <v>78</v>
      </c>
      <c r="E149" s="325" t="s">
        <v>78</v>
      </c>
      <c r="F149" s="10">
        <f>'FY 2013 by Agency'!F149*Inflator!$E$4</f>
        <v>0</v>
      </c>
      <c r="G149" s="325" t="s">
        <v>78</v>
      </c>
      <c r="H149" s="325" t="s">
        <v>78</v>
      </c>
      <c r="I149" s="10">
        <f>'FY 2013 by Agency'!I149*Inflator!$E$5</f>
        <v>0</v>
      </c>
      <c r="J149" s="325" t="s">
        <v>78</v>
      </c>
      <c r="K149" s="325" t="s">
        <v>78</v>
      </c>
      <c r="L149" s="10">
        <f>'FY 2013 by Agency'!L149*Inflator!$E$6</f>
        <v>0</v>
      </c>
      <c r="M149" s="325" t="s">
        <v>78</v>
      </c>
      <c r="N149" s="325" t="s">
        <v>78</v>
      </c>
      <c r="O149" s="10">
        <f>'FY 2013 by Agency'!O149*Inflator!$E$7</f>
        <v>0</v>
      </c>
      <c r="P149" s="52">
        <f t="shared" si="175"/>
        <v>0</v>
      </c>
      <c r="Q149" s="60" t="s">
        <v>78</v>
      </c>
      <c r="R149" s="52">
        <f>'FY 2013 by Agency'!R149*Inflator!$E$8</f>
        <v>0</v>
      </c>
      <c r="S149" s="52">
        <f t="shared" si="158"/>
        <v>0</v>
      </c>
      <c r="T149" s="60" t="s">
        <v>78</v>
      </c>
      <c r="U149" s="52">
        <f>'FY 2013 by Agency'!U149*Inflator!$E$9</f>
        <v>0</v>
      </c>
      <c r="V149" s="52">
        <f t="shared" si="176"/>
        <v>0</v>
      </c>
      <c r="W149" s="60" t="s">
        <v>78</v>
      </c>
      <c r="X149" s="52">
        <f>'FY 2013 by Agency'!X149*Inflator!$E$10</f>
        <v>0</v>
      </c>
      <c r="Y149" s="39">
        <f t="shared" si="178"/>
        <v>0</v>
      </c>
      <c r="Z149" s="61" t="s">
        <v>127</v>
      </c>
      <c r="AA149" s="52">
        <f>'FY 2013 by Agency'!AA149*Inflator!$E$11</f>
        <v>0</v>
      </c>
      <c r="AB149" s="39">
        <f t="shared" si="159"/>
        <v>0</v>
      </c>
      <c r="AC149" s="58" t="e">
        <f t="shared" si="160"/>
        <v>#DIV/0!</v>
      </c>
      <c r="AD149" s="52" t="e">
        <f>'FY 2013 by Agency'!AD149*Inflator!#REF!</f>
        <v>#REF!</v>
      </c>
      <c r="AE149" s="52">
        <f>'FY 2013 by Agency'!AE149*Inflator!$B$8</f>
        <v>0</v>
      </c>
      <c r="AF149" s="52">
        <f>'FY 2013 by Agency'!AF149*Inflator!$E$12</f>
        <v>0</v>
      </c>
      <c r="AG149" s="52">
        <f t="shared" si="161"/>
        <v>0</v>
      </c>
      <c r="AH149" s="58" t="e">
        <f t="shared" si="162"/>
        <v>#DIV/0!</v>
      </c>
      <c r="AI149" s="52">
        <f>'FY 2013 by Agency'!AI149*Inflator!$B$8</f>
        <v>0</v>
      </c>
      <c r="AJ149" s="52">
        <f>'FY 2013 by Agency'!AJ149*Inflator!$B$8</f>
        <v>0</v>
      </c>
      <c r="AK149" s="52">
        <f>'FY 2013 by Agency'!AK149</f>
        <v>0</v>
      </c>
      <c r="AL149" s="52">
        <f>'FY 2013 by Agency'!AL149</f>
        <v>0</v>
      </c>
      <c r="AM149" s="52">
        <f>'FY 2013 by Agency'!AM149</f>
        <v>0</v>
      </c>
      <c r="AN149" s="52">
        <f>'FY 2013 by Agency'!AN149</f>
        <v>0</v>
      </c>
      <c r="AO149" s="52">
        <f>'FY 2013 by Agency'!AO149</f>
        <v>0</v>
      </c>
      <c r="AP149" s="52">
        <f>'FY 2013 by Agency'!AP149</f>
        <v>0</v>
      </c>
      <c r="AQ149" s="52">
        <f>'FY 2013 by Agency'!AQ149</f>
        <v>0</v>
      </c>
      <c r="AR149" s="52">
        <f>'FY 2013 by Agency'!AR149</f>
        <v>0</v>
      </c>
      <c r="AS149" s="52">
        <f>'FY 2013 by Agency'!AS149</f>
        <v>0</v>
      </c>
      <c r="AT149" s="52" t="e">
        <f t="shared" si="163"/>
        <v>#REF!</v>
      </c>
      <c r="AU149" s="58" t="e">
        <f t="shared" si="164"/>
        <v>#REF!</v>
      </c>
      <c r="AV149" s="52">
        <f t="shared" si="165"/>
        <v>0</v>
      </c>
      <c r="AW149" s="58" t="e">
        <f t="shared" si="166"/>
        <v>#DIV/0!</v>
      </c>
      <c r="AY149" s="65"/>
      <c r="AZ149" s="65">
        <f t="shared" si="167"/>
        <v>0</v>
      </c>
      <c r="BA149" s="65">
        <f t="shared" si="168"/>
        <v>0</v>
      </c>
      <c r="BB149" s="65">
        <f t="shared" si="169"/>
        <v>0</v>
      </c>
      <c r="BC149" s="58"/>
      <c r="BD149" s="291"/>
      <c r="BE149" s="299"/>
      <c r="BI149" s="65"/>
      <c r="BJ149" s="65">
        <f t="shared" si="179"/>
        <v>0</v>
      </c>
      <c r="BK149" s="65">
        <f t="shared" si="180"/>
        <v>0</v>
      </c>
      <c r="BL149" s="568">
        <f>'FY 2013 by Agency'!AS149*Inflator!$E$13</f>
        <v>0</v>
      </c>
      <c r="BM149" s="52">
        <f t="shared" si="181"/>
        <v>0</v>
      </c>
      <c r="BN149" s="51" t="e">
        <f t="shared" si="182"/>
        <v>#DIV/0!</v>
      </c>
      <c r="BO149" s="52">
        <f>'FY 2013 by Agency'!AX149*Inflator!$E$13</f>
        <v>0</v>
      </c>
      <c r="BP149" s="52">
        <f t="shared" si="171"/>
        <v>0</v>
      </c>
      <c r="BQ149" s="58" t="e">
        <f t="shared" si="172"/>
        <v>#DIV/0!</v>
      </c>
      <c r="BR149" s="52">
        <f>'FY 2013 by Agency'!BE149*Inflator!$E$14</f>
        <v>708.21260077635122</v>
      </c>
      <c r="BS149" s="52">
        <f t="shared" si="173"/>
        <v>708.21260077635122</v>
      </c>
      <c r="BT149" s="58" t="e">
        <f t="shared" si="174"/>
        <v>#DIV/0!</v>
      </c>
      <c r="BU149" s="52">
        <f>'FY 2013 by Agency'!BL149*Inflator!$E$14</f>
        <v>708.21260077635122</v>
      </c>
      <c r="BV149" s="52">
        <f t="shared" si="183"/>
        <v>708.21260077635122</v>
      </c>
      <c r="BW149" s="39">
        <v>700</v>
      </c>
      <c r="BX149" s="39">
        <f>'FY 2013 by Agency'!BW149*Inflator!E15</f>
        <v>700</v>
      </c>
      <c r="BY149" s="534">
        <v>597</v>
      </c>
      <c r="BZ149" s="39">
        <f t="shared" si="148"/>
        <v>-8.2126007763512234</v>
      </c>
      <c r="CA149" s="51">
        <f t="shared" si="149"/>
        <v>-1.1596236451241436E-2</v>
      </c>
      <c r="CC149" s="39"/>
    </row>
    <row r="150" spans="1:81" ht="18" customHeight="1">
      <c r="A150" s="59" t="s">
        <v>188</v>
      </c>
      <c r="B150" s="322">
        <f>'FY 2013 by Agency'!B150*Inflator!$E$2</f>
        <v>101841.09489633175</v>
      </c>
      <c r="C150" s="322">
        <f>'FY 2013 by Agency'!C150*Inflator!$E$3</f>
        <v>123450.60046367852</v>
      </c>
      <c r="D150" s="322">
        <f t="shared" si="150"/>
        <v>21609.505567346772</v>
      </c>
      <c r="E150" s="351">
        <f t="shared" si="151"/>
        <v>0.21218846467964605</v>
      </c>
      <c r="F150" s="10">
        <f>'FY 2013 by Agency'!F150*Inflator!$E$4</f>
        <v>97011.8005329273</v>
      </c>
      <c r="G150" s="10">
        <f t="shared" si="152"/>
        <v>-26438.799930751222</v>
      </c>
      <c r="H150" s="14">
        <f t="shared" si="153"/>
        <v>-0.21416501686867057</v>
      </c>
      <c r="I150" s="10">
        <f>'FY 2013 by Agency'!I150*Inflator!$E$5</f>
        <v>94978.459650427685</v>
      </c>
      <c r="J150" s="10">
        <f t="shared" si="154"/>
        <v>-2033.340882499615</v>
      </c>
      <c r="K150" s="14">
        <f t="shared" si="155"/>
        <v>-2.0959727283996421E-2</v>
      </c>
      <c r="L150" s="10">
        <f>'FY 2013 by Agency'!L150*Inflator!$E$6</f>
        <v>49245.678662304614</v>
      </c>
      <c r="M150" s="10">
        <f t="shared" si="156"/>
        <v>-45732.780988123071</v>
      </c>
      <c r="N150" s="14">
        <f t="shared" si="157"/>
        <v>-0.48150687173117507</v>
      </c>
      <c r="O150" s="10">
        <f>'FY 2013 by Agency'!O150*Inflator!$E$7</f>
        <v>102170.83914114747</v>
      </c>
      <c r="P150" s="52">
        <f t="shared" si="175"/>
        <v>52925.160478842859</v>
      </c>
      <c r="Q150" s="58">
        <f t="shared" ref="Q150:Q160" si="184">P150/L150</f>
        <v>1.0747168465637316</v>
      </c>
      <c r="R150" s="52">
        <f>'FY 2013 by Agency'!R150*Inflator!$E$8</f>
        <v>110032.45349626611</v>
      </c>
      <c r="S150" s="52">
        <f t="shared" si="158"/>
        <v>7861.6143551186397</v>
      </c>
      <c r="T150" s="58">
        <f t="shared" ref="T150:T161" si="185">S150/O150</f>
        <v>7.6945774559587773E-2</v>
      </c>
      <c r="U150" s="52">
        <f>'FY 2013 by Agency'!U150*Inflator!$E$9</f>
        <v>107029.11339522546</v>
      </c>
      <c r="V150" s="52">
        <f t="shared" si="176"/>
        <v>-3003.3401010406524</v>
      </c>
      <c r="W150" s="58">
        <f t="shared" si="177"/>
        <v>-2.7295038923607833E-2</v>
      </c>
      <c r="X150" s="52">
        <f>'FY 2013 by Agency'!X150*Inflator!$E$10</f>
        <v>111090.53667831059</v>
      </c>
      <c r="Y150" s="39">
        <f t="shared" si="178"/>
        <v>4061.4232830851251</v>
      </c>
      <c r="Z150" s="58">
        <f t="shared" ref="Z150:Z161" si="186">Y150/U150</f>
        <v>3.794690205540191E-2</v>
      </c>
      <c r="AA150" s="52">
        <f>'FY 2013 by Agency'!AA150*Inflator!$E$11</f>
        <v>118761.12838483596</v>
      </c>
      <c r="AB150" s="39">
        <f t="shared" si="159"/>
        <v>7670.5917065253743</v>
      </c>
      <c r="AC150" s="58">
        <f t="shared" si="160"/>
        <v>6.9048110990204511E-2</v>
      </c>
      <c r="AD150" s="52" t="e">
        <f>'FY 2013 by Agency'!AD150*Inflator!#REF!</f>
        <v>#REF!</v>
      </c>
      <c r="AE150" s="52">
        <f>'FY 2013 by Agency'!AE150*Inflator!$B$8</f>
        <v>0</v>
      </c>
      <c r="AF150" s="52">
        <f>'FY 2013 by Agency'!AF150*Inflator!$E$12</f>
        <v>102510.59147869675</v>
      </c>
      <c r="AG150" s="52">
        <f t="shared" si="161"/>
        <v>-16250.536906139212</v>
      </c>
      <c r="AH150" s="58">
        <f t="shared" si="162"/>
        <v>-0.13683380351086463</v>
      </c>
      <c r="AI150" s="52">
        <f>'FY 2013 by Agency'!AI150*Inflator!$B$8</f>
        <v>0</v>
      </c>
      <c r="AJ150" s="52">
        <f>'FY 2013 by Agency'!AJ150*Inflator!$B$8</f>
        <v>0</v>
      </c>
      <c r="AK150" s="52">
        <f>'FY 2013 by Agency'!AK150</f>
        <v>80559</v>
      </c>
      <c r="AL150" s="52">
        <f>'FY 2013 by Agency'!AL150</f>
        <v>0</v>
      </c>
      <c r="AM150" s="52">
        <f>'FY 2013 by Agency'!AM150</f>
        <v>80559</v>
      </c>
      <c r="AN150" s="52">
        <f>'FY 2013 by Agency'!AN150</f>
        <v>73448</v>
      </c>
      <c r="AO150" s="52">
        <f>'FY 2013 by Agency'!AO150</f>
        <v>88400</v>
      </c>
      <c r="AP150" s="52">
        <f>'FY 2013 by Agency'!AP150</f>
        <v>0</v>
      </c>
      <c r="AQ150" s="52">
        <f>'FY 2013 by Agency'!AQ150</f>
        <v>0</v>
      </c>
      <c r="AR150" s="52">
        <f>'FY 2013 by Agency'!AR150</f>
        <v>0</v>
      </c>
      <c r="AS150" s="52">
        <f>'FY 2013 by Agency'!AS150</f>
        <v>86601.127980000005</v>
      </c>
      <c r="AT150" s="52" t="e">
        <f t="shared" si="163"/>
        <v>#REF!</v>
      </c>
      <c r="AU150" s="58" t="e">
        <f t="shared" si="164"/>
        <v>#REF!</v>
      </c>
      <c r="AV150" s="52">
        <f t="shared" si="165"/>
        <v>-15909.463498696743</v>
      </c>
      <c r="AW150" s="58">
        <f t="shared" si="166"/>
        <v>-0.15519824116908906</v>
      </c>
      <c r="AX150" s="279" t="s">
        <v>321</v>
      </c>
      <c r="AY150" s="65">
        <v>89100</v>
      </c>
      <c r="AZ150" s="65">
        <f t="shared" si="167"/>
        <v>700</v>
      </c>
      <c r="BA150" s="65">
        <f t="shared" si="168"/>
        <v>-15209.463498696743</v>
      </c>
      <c r="BB150" s="65">
        <f t="shared" si="169"/>
        <v>87301.127980000005</v>
      </c>
      <c r="BC150" s="58">
        <f t="shared" si="170"/>
        <v>-0.14836967848202787</v>
      </c>
      <c r="BD150" s="291">
        <v>4393.7730000000001</v>
      </c>
      <c r="BE150" s="51">
        <f t="shared" ref="BE150:BE156" si="187">BD150/AY150</f>
        <v>4.9312828282828285E-2</v>
      </c>
      <c r="BF150" s="50">
        <v>2210</v>
      </c>
      <c r="BH150" s="50">
        <v>606</v>
      </c>
      <c r="BI150" s="219">
        <v>87102</v>
      </c>
      <c r="BJ150" s="65">
        <f t="shared" si="179"/>
        <v>-1998</v>
      </c>
      <c r="BK150" s="65">
        <f t="shared" si="180"/>
        <v>87102</v>
      </c>
      <c r="BL150" s="568">
        <f>'FY 2013 by Agency'!AS150*Inflator!$E$13</f>
        <v>89798.789403735151</v>
      </c>
      <c r="BM150" s="52">
        <f t="shared" si="181"/>
        <v>-12711.802074961597</v>
      </c>
      <c r="BN150" s="51">
        <f t="shared" si="182"/>
        <v>-0.12400476762055658</v>
      </c>
      <c r="BO150" s="52">
        <f>'FY 2013 by Agency'!AX150*Inflator!$E$13</f>
        <v>90318.155630149544</v>
      </c>
      <c r="BP150" s="52">
        <f t="shared" si="171"/>
        <v>-12192.435848547204</v>
      </c>
      <c r="BQ150" s="58">
        <f t="shared" si="172"/>
        <v>-0.11893830357110929</v>
      </c>
      <c r="BR150" s="52">
        <f>'FY 2013 by Agency'!BE150*Inflator!$E$14</f>
        <v>99873.196177963575</v>
      </c>
      <c r="BS150" s="52">
        <f t="shared" si="173"/>
        <v>9555.040547814031</v>
      </c>
      <c r="BT150" s="58">
        <f t="shared" si="174"/>
        <v>0.10579313185868928</v>
      </c>
      <c r="BU150" s="52">
        <f>'FY 2013 by Agency'!BL150*Inflator!$E$14</f>
        <v>99873.196177963575</v>
      </c>
      <c r="BV150" s="52">
        <f t="shared" si="183"/>
        <v>10074.406774228424</v>
      </c>
      <c r="BW150" s="39">
        <v>99377</v>
      </c>
      <c r="BX150" s="39">
        <f>'FY 2013 by Agency'!BW150*Inflator!E15</f>
        <v>117198</v>
      </c>
      <c r="BY150" s="534">
        <v>99922</v>
      </c>
      <c r="BZ150" s="39">
        <f t="shared" si="148"/>
        <v>-496.19617796357488</v>
      </c>
      <c r="CA150" s="51">
        <f t="shared" si="149"/>
        <v>-4.968261725392319E-3</v>
      </c>
      <c r="CC150" s="39"/>
    </row>
    <row r="151" spans="1:81" ht="18" customHeight="1">
      <c r="A151" s="57" t="s">
        <v>86</v>
      </c>
      <c r="B151" s="322">
        <f>'FY 2013 by Agency'!B151*Inflator!$E$2</f>
        <v>36218.236044657096</v>
      </c>
      <c r="C151" s="322">
        <f>'FY 2013 by Agency'!C151*Inflator!$E$3</f>
        <v>35772.221792890268</v>
      </c>
      <c r="D151" s="322">
        <f t="shared" si="150"/>
        <v>-446.01425176682824</v>
      </c>
      <c r="E151" s="351">
        <f t="shared" si="151"/>
        <v>-1.2314632088014792E-2</v>
      </c>
      <c r="F151" s="10">
        <f>'FY 2013 by Agency'!F151*Inflator!$E$4</f>
        <v>39338.931861438905</v>
      </c>
      <c r="G151" s="10">
        <f t="shared" si="152"/>
        <v>3566.7100685486366</v>
      </c>
      <c r="H151" s="14">
        <f t="shared" si="153"/>
        <v>9.9706137605842543E-2</v>
      </c>
      <c r="I151" s="10">
        <f>'FY 2013 by Agency'!I151*Inflator!$E$5</f>
        <v>40568.758646336937</v>
      </c>
      <c r="J151" s="10">
        <f t="shared" si="154"/>
        <v>1229.8267848980322</v>
      </c>
      <c r="K151" s="14">
        <f t="shared" si="155"/>
        <v>3.1262332928351365E-2</v>
      </c>
      <c r="L151" s="10">
        <f>'FY 2013 by Agency'!L151*Inflator!$E$6</f>
        <v>40190.521264994546</v>
      </c>
      <c r="M151" s="10">
        <f t="shared" si="156"/>
        <v>-378.23738134239102</v>
      </c>
      <c r="N151" s="14">
        <f t="shared" si="157"/>
        <v>-9.3233659092140618E-3</v>
      </c>
      <c r="O151" s="10">
        <f>'FY 2013 by Agency'!O151*Inflator!$E$7</f>
        <v>42283.032734952474</v>
      </c>
      <c r="P151" s="52">
        <f t="shared" si="175"/>
        <v>2092.5114699579281</v>
      </c>
      <c r="Q151" s="58">
        <f t="shared" si="184"/>
        <v>5.2064800457825362E-2</v>
      </c>
      <c r="R151" s="52">
        <f>'FY 2013 by Agency'!R151*Inflator!$E$8</f>
        <v>50396.746096401897</v>
      </c>
      <c r="S151" s="52">
        <f t="shared" si="158"/>
        <v>8113.7133614494232</v>
      </c>
      <c r="T151" s="58">
        <f t="shared" si="185"/>
        <v>0.19189052526836314</v>
      </c>
      <c r="U151" s="52">
        <f>'FY 2013 by Agency'!U151*Inflator!$E$9</f>
        <v>53867.763925729443</v>
      </c>
      <c r="V151" s="52">
        <f t="shared" si="176"/>
        <v>3471.0178293275458</v>
      </c>
      <c r="W151" s="58">
        <f t="shared" si="177"/>
        <v>6.8873847979946487E-2</v>
      </c>
      <c r="X151" s="52">
        <f>'FY 2013 by Agency'!X151*Inflator!$E$10</f>
        <v>57216.751984757073</v>
      </c>
      <c r="Y151" s="39">
        <f t="shared" si="178"/>
        <v>3348.9880590276298</v>
      </c>
      <c r="Z151" s="58">
        <f t="shared" si="186"/>
        <v>6.2170541618268592E-2</v>
      </c>
      <c r="AA151" s="52">
        <f>'FY 2013 by Agency'!AA151*Inflator!$E$11</f>
        <v>51215.729850270793</v>
      </c>
      <c r="AB151" s="39">
        <f t="shared" si="159"/>
        <v>-6001.0221344862803</v>
      </c>
      <c r="AC151" s="58">
        <f t="shared" si="160"/>
        <v>-0.10488225784093778</v>
      </c>
      <c r="AD151" s="52" t="e">
        <f>'FY 2013 by Agency'!AD151*Inflator!#REF!</f>
        <v>#REF!</v>
      </c>
      <c r="AE151" s="52">
        <f>'FY 2013 by Agency'!AE151*Inflator!$B$8</f>
        <v>0</v>
      </c>
      <c r="AF151" s="52">
        <f>'FY 2013 by Agency'!AF151*Inflator!$E$12</f>
        <v>51640.657894736847</v>
      </c>
      <c r="AG151" s="52">
        <f t="shared" si="161"/>
        <v>424.92804446605442</v>
      </c>
      <c r="AH151" s="58">
        <f t="shared" si="162"/>
        <v>8.2968268871366612E-3</v>
      </c>
      <c r="AI151" s="52">
        <f>'FY 2013 by Agency'!AI151*Inflator!$B$8</f>
        <v>0</v>
      </c>
      <c r="AJ151" s="52">
        <f>'FY 2013 by Agency'!AJ151*Inflator!$B$8</f>
        <v>0</v>
      </c>
      <c r="AK151" s="52">
        <f>'FY 2013 by Agency'!AK151</f>
        <v>46325</v>
      </c>
      <c r="AL151" s="52">
        <f>'FY 2013 by Agency'!AL151</f>
        <v>350</v>
      </c>
      <c r="AM151" s="52">
        <f>'FY 2013 by Agency'!AM151</f>
        <v>46675</v>
      </c>
      <c r="AN151" s="52">
        <f>'FY 2013 by Agency'!AN151</f>
        <v>38666</v>
      </c>
      <c r="AO151" s="52">
        <f>'FY 2013 by Agency'!AO151</f>
        <v>40065</v>
      </c>
      <c r="AP151" s="52">
        <f>'FY 2013 by Agency'!AP151</f>
        <v>4663</v>
      </c>
      <c r="AQ151" s="52">
        <f>'FY 2013 by Agency'!AQ151</f>
        <v>603</v>
      </c>
      <c r="AR151" s="52">
        <f>'FY 2013 by Agency'!AR151</f>
        <v>5266</v>
      </c>
      <c r="AS151" s="52">
        <f>'FY 2013 by Agency'!AS151</f>
        <v>43667.288260000001</v>
      </c>
      <c r="AT151" s="52" t="e">
        <f t="shared" si="163"/>
        <v>#REF!</v>
      </c>
      <c r="AU151" s="58" t="e">
        <f t="shared" si="164"/>
        <v>#REF!</v>
      </c>
      <c r="AV151" s="52">
        <f t="shared" si="165"/>
        <v>-7973.3696347368459</v>
      </c>
      <c r="AW151" s="58">
        <f t="shared" si="166"/>
        <v>-0.15440100803885154</v>
      </c>
      <c r="AX151" s="282" t="s">
        <v>322</v>
      </c>
      <c r="AY151" s="65">
        <v>41182</v>
      </c>
      <c r="AZ151" s="65">
        <f t="shared" si="167"/>
        <v>1117</v>
      </c>
      <c r="BA151" s="65">
        <f t="shared" si="168"/>
        <v>-6856.3696347368459</v>
      </c>
      <c r="BB151" s="65">
        <f t="shared" si="169"/>
        <v>44784.288260000001</v>
      </c>
      <c r="BC151" s="58">
        <f t="shared" si="170"/>
        <v>-0.13277076463109194</v>
      </c>
      <c r="BD151" s="291">
        <v>602.85299999999995</v>
      </c>
      <c r="BE151" s="51">
        <f t="shared" si="187"/>
        <v>1.4638749939293864E-2</v>
      </c>
      <c r="BI151" s="219">
        <v>38972</v>
      </c>
      <c r="BJ151" s="65">
        <f t="shared" si="179"/>
        <v>-2210</v>
      </c>
      <c r="BK151" s="65">
        <f t="shared" si="180"/>
        <v>44238</v>
      </c>
      <c r="BL151" s="568">
        <f>'FY 2013 by Agency'!AS151*Inflator!$E$13</f>
        <v>45279.659904632295</v>
      </c>
      <c r="BM151" s="52">
        <f t="shared" si="181"/>
        <v>-6360.9979901045517</v>
      </c>
      <c r="BN151" s="51">
        <f t="shared" si="182"/>
        <v>-0.12317809744156759</v>
      </c>
      <c r="BO151" s="52">
        <f>'FY 2013 by Agency'!AX151*Inflator!$E$13</f>
        <v>41093.298748855668</v>
      </c>
      <c r="BP151" s="52">
        <f t="shared" si="171"/>
        <v>-10547.359145881179</v>
      </c>
      <c r="BQ151" s="58">
        <f t="shared" si="172"/>
        <v>-0.2042452512394532</v>
      </c>
      <c r="BR151" s="52">
        <f>'FY 2013 by Agency'!BE151*Inflator!$E$14</f>
        <v>44028.907733651838</v>
      </c>
      <c r="BS151" s="52">
        <f t="shared" si="173"/>
        <v>2935.6089847961703</v>
      </c>
      <c r="BT151" s="58">
        <f t="shared" si="174"/>
        <v>7.143765709191012E-2</v>
      </c>
      <c r="BU151" s="52">
        <f>'FY 2013 by Agency'!BL151*Inflator!$E$14</f>
        <v>57964.867721707975</v>
      </c>
      <c r="BV151" s="52">
        <f t="shared" si="183"/>
        <v>12685.207817075679</v>
      </c>
      <c r="BW151" s="487">
        <f>35866+9794</f>
        <v>45660</v>
      </c>
      <c r="BX151" s="39">
        <f>'FY 2013 by Agency'!BW151*Inflator!E15</f>
        <v>50679</v>
      </c>
      <c r="BY151" s="595">
        <v>35866</v>
      </c>
      <c r="BZ151" s="39">
        <f t="shared" si="148"/>
        <v>1631.0922663481615</v>
      </c>
      <c r="CA151" s="51">
        <f t="shared" si="149"/>
        <v>3.7045939822429381E-2</v>
      </c>
      <c r="CC151" s="39"/>
    </row>
    <row r="152" spans="1:81" ht="18" customHeight="1">
      <c r="A152" s="57" t="s">
        <v>23</v>
      </c>
      <c r="B152" s="322">
        <f>'FY 2013 by Agency'!B152*Inflator!$E$2</f>
        <v>17847.629186602873</v>
      </c>
      <c r="C152" s="322">
        <f>'FY 2013 by Agency'!C152*Inflator!$E$3</f>
        <v>18998.863987635239</v>
      </c>
      <c r="D152" s="322">
        <f t="shared" si="150"/>
        <v>1151.2348010323658</v>
      </c>
      <c r="E152" s="351">
        <f t="shared" si="151"/>
        <v>6.4503514107998594E-2</v>
      </c>
      <c r="F152" s="10">
        <f>'FY 2013 by Agency'!F152*Inflator!$E$4</f>
        <v>18297.719071183859</v>
      </c>
      <c r="G152" s="10">
        <f t="shared" si="152"/>
        <v>-701.14491645137969</v>
      </c>
      <c r="H152" s="14">
        <f t="shared" si="153"/>
        <v>-3.6904570552623348E-2</v>
      </c>
      <c r="I152" s="10">
        <f>'FY 2013 by Agency'!I152*Inflator!$E$5</f>
        <v>17741.881740423953</v>
      </c>
      <c r="J152" s="10">
        <f t="shared" si="154"/>
        <v>-555.83733075990676</v>
      </c>
      <c r="K152" s="14">
        <f t="shared" si="155"/>
        <v>-3.0377410900097733E-2</v>
      </c>
      <c r="L152" s="10">
        <f>'FY 2013 by Agency'!L152*Inflator!$E$6</f>
        <v>18094.257360959647</v>
      </c>
      <c r="M152" s="10">
        <f t="shared" si="156"/>
        <v>352.37562053569491</v>
      </c>
      <c r="N152" s="14">
        <f t="shared" si="157"/>
        <v>1.9861231502452496E-2</v>
      </c>
      <c r="O152" s="10">
        <f>'FY 2013 by Agency'!O152*Inflator!$E$7</f>
        <v>16732.847588877154</v>
      </c>
      <c r="P152" s="52">
        <f t="shared" si="175"/>
        <v>-1361.4097720824939</v>
      </c>
      <c r="Q152" s="58">
        <f t="shared" si="184"/>
        <v>-7.5239881080717094E-2</v>
      </c>
      <c r="R152" s="52">
        <f>'FY 2013 by Agency'!R152*Inflator!$E$8</f>
        <v>16933.482009504412</v>
      </c>
      <c r="S152" s="52">
        <f t="shared" si="158"/>
        <v>200.63442062725881</v>
      </c>
      <c r="T152" s="58">
        <f t="shared" si="185"/>
        <v>1.1990452883861009E-2</v>
      </c>
      <c r="U152" s="52">
        <f>'FY 2013 by Agency'!U152*Inflator!$E$9</f>
        <v>18544.787798408488</v>
      </c>
      <c r="V152" s="52">
        <f t="shared" si="176"/>
        <v>1611.3057889040756</v>
      </c>
      <c r="W152" s="58">
        <f t="shared" si="177"/>
        <v>9.51550182059238E-2</v>
      </c>
      <c r="X152" s="52">
        <f>'FY 2013 by Agency'!X152*Inflator!$E$10</f>
        <v>18557.892664337887</v>
      </c>
      <c r="Y152" s="39">
        <f t="shared" si="178"/>
        <v>13.104865929399239</v>
      </c>
      <c r="Z152" s="58">
        <f t="shared" si="186"/>
        <v>7.0666033345088465E-4</v>
      </c>
      <c r="AA152" s="52">
        <f>'FY 2013 by Agency'!AA152*Inflator!$E$11</f>
        <v>18970.99394711692</v>
      </c>
      <c r="AB152" s="39">
        <f t="shared" si="159"/>
        <v>413.10128277903277</v>
      </c>
      <c r="AC152" s="58">
        <f t="shared" si="160"/>
        <v>2.2260139674849848E-2</v>
      </c>
      <c r="AD152" s="52" t="e">
        <f>'FY 2013 by Agency'!AD152*Inflator!#REF!</f>
        <v>#REF!</v>
      </c>
      <c r="AE152" s="52">
        <f>'FY 2013 by Agency'!AE152*Inflator!$B$8</f>
        <v>0</v>
      </c>
      <c r="AF152" s="52">
        <f>'FY 2013 by Agency'!AF152*Inflator!$E$12</f>
        <v>17711.755639097748</v>
      </c>
      <c r="AG152" s="52">
        <f t="shared" si="161"/>
        <v>-1259.2383080191721</v>
      </c>
      <c r="AH152" s="58">
        <f t="shared" si="162"/>
        <v>-6.637703388285264E-2</v>
      </c>
      <c r="AI152" s="52">
        <f>'FY 2013 by Agency'!AI152*Inflator!$B$8</f>
        <v>0</v>
      </c>
      <c r="AJ152" s="52">
        <f>'FY 2013 by Agency'!AJ152*Inflator!$B$8</f>
        <v>0</v>
      </c>
      <c r="AK152" s="52">
        <f>'FY 2013 by Agency'!AK152</f>
        <v>16184</v>
      </c>
      <c r="AL152" s="52">
        <f>'FY 2013 by Agency'!AL152</f>
        <v>155</v>
      </c>
      <c r="AM152" s="52">
        <f>'FY 2013 by Agency'!AM152</f>
        <v>16339</v>
      </c>
      <c r="AN152" s="52">
        <f>'FY 2013 by Agency'!AN152</f>
        <v>15758</v>
      </c>
      <c r="AO152" s="52">
        <f>'FY 2013 by Agency'!AO152</f>
        <v>15758</v>
      </c>
      <c r="AP152" s="52">
        <f>'FY 2013 by Agency'!AP152</f>
        <v>349</v>
      </c>
      <c r="AQ152" s="52">
        <f>'FY 2013 by Agency'!AQ152</f>
        <v>38</v>
      </c>
      <c r="AR152" s="52">
        <f>'FY 2013 by Agency'!AR152</f>
        <v>387</v>
      </c>
      <c r="AS152" s="52">
        <f>'FY 2013 by Agency'!AS152</f>
        <v>17010.1865</v>
      </c>
      <c r="AT152" s="52" t="e">
        <f t="shared" si="163"/>
        <v>#REF!</v>
      </c>
      <c r="AU152" s="58" t="e">
        <f t="shared" si="164"/>
        <v>#REF!</v>
      </c>
      <c r="AV152" s="52">
        <f t="shared" si="165"/>
        <v>-701.56913909774812</v>
      </c>
      <c r="AW152" s="58">
        <f t="shared" si="166"/>
        <v>-3.9610366888140215E-2</v>
      </c>
      <c r="AX152" s="282" t="s">
        <v>323</v>
      </c>
      <c r="AY152" s="65">
        <v>15944</v>
      </c>
      <c r="AZ152" s="65">
        <f t="shared" si="167"/>
        <v>186</v>
      </c>
      <c r="BA152" s="65">
        <f t="shared" si="168"/>
        <v>-515.56913909774812</v>
      </c>
      <c r="BB152" s="65">
        <f t="shared" si="169"/>
        <v>17196.1865</v>
      </c>
      <c r="BC152" s="58">
        <f t="shared" si="170"/>
        <v>-2.9108866992251015E-2</v>
      </c>
      <c r="BD152" s="291">
        <v>1407.7170000000001</v>
      </c>
      <c r="BE152" s="51">
        <f t="shared" si="187"/>
        <v>8.8291332162569E-2</v>
      </c>
      <c r="BI152" s="219">
        <v>16165</v>
      </c>
      <c r="BJ152" s="65">
        <f t="shared" si="179"/>
        <v>221</v>
      </c>
      <c r="BK152" s="65">
        <f t="shared" si="180"/>
        <v>16552</v>
      </c>
      <c r="BL152" s="568">
        <f>'FY 2013 by Agency'!AS152*Inflator!$E$13</f>
        <v>17638.270896246569</v>
      </c>
      <c r="BM152" s="52">
        <f t="shared" si="181"/>
        <v>-73.484742851178453</v>
      </c>
      <c r="BN152" s="51">
        <f t="shared" si="182"/>
        <v>-4.1489248354897599E-3</v>
      </c>
      <c r="BO152" s="52">
        <f>'FY 2013 by Agency'!AX152*Inflator!$E$13</f>
        <v>16761.876716509007</v>
      </c>
      <c r="BP152" s="52">
        <f t="shared" si="171"/>
        <v>-949.87892258874126</v>
      </c>
      <c r="BQ152" s="58">
        <f t="shared" si="172"/>
        <v>-5.3629857025123732E-2</v>
      </c>
      <c r="BR152" s="52">
        <f>'FY 2013 by Agency'!BE152*Inflator!$E$14</f>
        <v>16303.094655120933</v>
      </c>
      <c r="BS152" s="52">
        <f t="shared" si="173"/>
        <v>-458.782061388074</v>
      </c>
      <c r="BT152" s="58">
        <f t="shared" si="174"/>
        <v>-2.7370566503225328E-2</v>
      </c>
      <c r="BU152" s="52">
        <f>'FY 2013 by Agency'!BL152*Inflator!$E$14</f>
        <v>16704.888623469695</v>
      </c>
      <c r="BV152" s="52">
        <f t="shared" si="183"/>
        <v>-933.38227277687474</v>
      </c>
      <c r="BW152" s="487">
        <v>16153</v>
      </c>
      <c r="BX152" s="39">
        <f>'FY 2013 by Agency'!BW152*Inflator!E15</f>
        <v>18211</v>
      </c>
      <c r="BY152" s="595">
        <v>16620</v>
      </c>
      <c r="BZ152" s="39">
        <f t="shared" si="148"/>
        <v>-150.09465512093266</v>
      </c>
      <c r="CA152" s="51">
        <f t="shared" si="149"/>
        <v>-9.2065131372948712E-3</v>
      </c>
      <c r="CC152" s="39"/>
    </row>
    <row r="153" spans="1:81" ht="18" customHeight="1">
      <c r="A153" s="57" t="s">
        <v>24</v>
      </c>
      <c r="B153" s="322">
        <f>'FY 2013 by Agency'!B153*Inflator!$E$2</f>
        <v>5599.6547049441788</v>
      </c>
      <c r="C153" s="322">
        <f>'FY 2013 by Agency'!C153*Inflator!$E$3</f>
        <v>5039.2287480680061</v>
      </c>
      <c r="D153" s="322">
        <f t="shared" si="150"/>
        <v>-560.42595687617268</v>
      </c>
      <c r="E153" s="351">
        <f t="shared" si="151"/>
        <v>-0.10008223478161041</v>
      </c>
      <c r="F153" s="10">
        <f>'FY 2013 by Agency'!F153*Inflator!$E$4</f>
        <v>11876.831366577846</v>
      </c>
      <c r="G153" s="10">
        <f t="shared" si="152"/>
        <v>6837.6026185098399</v>
      </c>
      <c r="H153" s="14">
        <f t="shared" si="153"/>
        <v>1.3568748235791666</v>
      </c>
      <c r="I153" s="10">
        <f>'FY 2013 by Agency'!I153*Inflator!$E$5</f>
        <v>11331.300111565639</v>
      </c>
      <c r="J153" s="10">
        <f t="shared" si="154"/>
        <v>-545.53125501220711</v>
      </c>
      <c r="K153" s="14">
        <f t="shared" si="155"/>
        <v>-4.593239039727099E-2</v>
      </c>
      <c r="L153" s="10">
        <f>'FY 2013 by Agency'!L153*Inflator!$E$6</f>
        <v>6791.0592511813875</v>
      </c>
      <c r="M153" s="10">
        <f t="shared" si="156"/>
        <v>-4540.2408603842514</v>
      </c>
      <c r="N153" s="14">
        <f t="shared" si="157"/>
        <v>-0.40068137068844512</v>
      </c>
      <c r="O153" s="10">
        <f>'FY 2013 by Agency'!O153*Inflator!$E$7</f>
        <v>6217.108060542062</v>
      </c>
      <c r="P153" s="52">
        <f t="shared" si="175"/>
        <v>-573.95119063932543</v>
      </c>
      <c r="Q153" s="58">
        <f t="shared" si="184"/>
        <v>-8.4515709466012931E-2</v>
      </c>
      <c r="R153" s="52">
        <f>'FY 2013 by Agency'!R153*Inflator!$E$8</f>
        <v>5831.733876442634</v>
      </c>
      <c r="S153" s="52">
        <f t="shared" si="158"/>
        <v>-385.37418409942802</v>
      </c>
      <c r="T153" s="58">
        <f t="shared" si="185"/>
        <v>-6.1986084260827169E-2</v>
      </c>
      <c r="U153" s="52">
        <f>'FY 2013 by Agency'!U153*Inflator!$E$9</f>
        <v>5914.9535809018562</v>
      </c>
      <c r="V153" s="52">
        <f t="shared" si="176"/>
        <v>83.219704459222157</v>
      </c>
      <c r="W153" s="58">
        <f t="shared" si="177"/>
        <v>1.4270147819225643E-2</v>
      </c>
      <c r="X153" s="52">
        <f>'FY 2013 by Agency'!X153*Inflator!$E$10</f>
        <v>6969.7307081613217</v>
      </c>
      <c r="Y153" s="39">
        <f t="shared" si="178"/>
        <v>1054.7771272594655</v>
      </c>
      <c r="Z153" s="58">
        <f t="shared" si="186"/>
        <v>0.17832382162137661</v>
      </c>
      <c r="AA153" s="52">
        <f>'FY 2013 by Agency'!AA153*Inflator!$E$11</f>
        <v>5953.8069448869073</v>
      </c>
      <c r="AB153" s="39">
        <f t="shared" si="159"/>
        <v>-1015.9237632744143</v>
      </c>
      <c r="AC153" s="58">
        <f t="shared" si="160"/>
        <v>-0.14576226913398557</v>
      </c>
      <c r="AD153" s="52" t="e">
        <f>'FY 2013 by Agency'!AD153*Inflator!#REF!</f>
        <v>#REF!</v>
      </c>
      <c r="AE153" s="52">
        <f>'FY 2013 by Agency'!AE153*Inflator!$B$8</f>
        <v>0</v>
      </c>
      <c r="AF153" s="52">
        <f>'FY 2013 by Agency'!AF153*Inflator!$E$12</f>
        <v>18343.025689223061</v>
      </c>
      <c r="AG153" s="52">
        <f t="shared" si="161"/>
        <v>12389.218744336154</v>
      </c>
      <c r="AH153" s="58">
        <f t="shared" si="162"/>
        <v>2.0808902369560269</v>
      </c>
      <c r="AI153" s="52">
        <f>'FY 2013 by Agency'!AI153*Inflator!$B$8</f>
        <v>0</v>
      </c>
      <c r="AJ153" s="52">
        <f>'FY 2013 by Agency'!AJ153*Inflator!$B$8</f>
        <v>0</v>
      </c>
      <c r="AK153" s="52">
        <f>'FY 2013 by Agency'!AK153</f>
        <v>11136</v>
      </c>
      <c r="AL153" s="52">
        <f>'FY 2013 by Agency'!AL153</f>
        <v>0</v>
      </c>
      <c r="AM153" s="52">
        <f>'FY 2013 by Agency'!AM153</f>
        <v>11136</v>
      </c>
      <c r="AN153" s="52">
        <f>'FY 2013 by Agency'!AN153</f>
        <v>18512</v>
      </c>
      <c r="AO153" s="52">
        <f>'FY 2013 by Agency'!AO153</f>
        <v>18512</v>
      </c>
      <c r="AP153" s="52">
        <f>'FY 2013 by Agency'!AP153</f>
        <v>0</v>
      </c>
      <c r="AQ153" s="52">
        <f>'FY 2013 by Agency'!AQ153</f>
        <v>0</v>
      </c>
      <c r="AR153" s="52">
        <f>'FY 2013 by Agency'!AR153</f>
        <v>0</v>
      </c>
      <c r="AS153" s="52">
        <f>'FY 2013 by Agency'!AS153</f>
        <v>16325.28104</v>
      </c>
      <c r="AT153" s="52" t="e">
        <f t="shared" si="163"/>
        <v>#REF!</v>
      </c>
      <c r="AU153" s="58" t="e">
        <f t="shared" si="164"/>
        <v>#REF!</v>
      </c>
      <c r="AV153" s="52">
        <f t="shared" si="165"/>
        <v>-2017.7446492230611</v>
      </c>
      <c r="AW153" s="58">
        <f t="shared" si="166"/>
        <v>-0.11000064457242359</v>
      </c>
      <c r="AX153" s="282" t="s">
        <v>324</v>
      </c>
      <c r="AY153" s="65">
        <v>18512</v>
      </c>
      <c r="AZ153" s="65">
        <f t="shared" si="167"/>
        <v>0</v>
      </c>
      <c r="BA153" s="65">
        <f t="shared" si="168"/>
        <v>-2017.7446492230611</v>
      </c>
      <c r="BB153" s="65">
        <f t="shared" si="169"/>
        <v>16325.28104</v>
      </c>
      <c r="BC153" s="58">
        <f t="shared" si="170"/>
        <v>-0.11000064457242353</v>
      </c>
      <c r="BD153" s="291">
        <v>0</v>
      </c>
      <c r="BE153" s="51">
        <f t="shared" si="187"/>
        <v>0</v>
      </c>
      <c r="BI153" s="219">
        <v>18512</v>
      </c>
      <c r="BJ153" s="65">
        <f t="shared" si="179"/>
        <v>0</v>
      </c>
      <c r="BK153" s="65">
        <f t="shared" si="180"/>
        <v>18512</v>
      </c>
      <c r="BL153" s="568">
        <f>'FY 2013 by Agency'!AS153*Inflator!$E$13</f>
        <v>16928.075976173332</v>
      </c>
      <c r="BM153" s="52">
        <f t="shared" si="181"/>
        <v>-1414.9497130497293</v>
      </c>
      <c r="BN153" s="51">
        <f t="shared" si="182"/>
        <v>-7.7138294249952666E-2</v>
      </c>
      <c r="BO153" s="52">
        <f>'FY 2013 by Agency'!AX153*Inflator!$E$13</f>
        <v>19195.537381751605</v>
      </c>
      <c r="BP153" s="52">
        <f t="shared" si="171"/>
        <v>852.51169252854379</v>
      </c>
      <c r="BQ153" s="58">
        <f t="shared" si="172"/>
        <v>4.6476067087962133E-2</v>
      </c>
      <c r="BR153" s="52">
        <f>'FY 2013 by Agency'!BE153*Inflator!$E$14</f>
        <v>6607.278590624067</v>
      </c>
      <c r="BS153" s="52">
        <f t="shared" si="173"/>
        <v>-12588.258791127537</v>
      </c>
      <c r="BT153" s="58">
        <f t="shared" si="174"/>
        <v>-0.65579090289468367</v>
      </c>
      <c r="BU153" s="52">
        <f>'FY 2013 by Agency'!BL153*Inflator!$E$14</f>
        <v>6607.278590624067</v>
      </c>
      <c r="BV153" s="52">
        <f t="shared" si="183"/>
        <v>-10320.797385549264</v>
      </c>
      <c r="BW153" s="39">
        <v>6512</v>
      </c>
      <c r="BX153" s="39">
        <f>'FY 2013 by Agency'!BW153*Inflator!E15</f>
        <v>6512</v>
      </c>
      <c r="BY153" s="534">
        <v>6512</v>
      </c>
      <c r="BZ153" s="39">
        <f t="shared" si="148"/>
        <v>-95.278590624066965</v>
      </c>
      <c r="CA153" s="51">
        <f t="shared" si="149"/>
        <v>-1.4420247204237799E-2</v>
      </c>
      <c r="CC153" s="39"/>
    </row>
    <row r="154" spans="1:81" ht="18" customHeight="1">
      <c r="A154" s="57" t="s">
        <v>25</v>
      </c>
      <c r="B154" s="322">
        <f>'FY 2013 by Agency'!B154*Inflator!$E$2</f>
        <v>39281.584529505584</v>
      </c>
      <c r="C154" s="322">
        <f>'FY 2013 by Agency'!C154*Inflator!$E$3</f>
        <v>36507.492272024734</v>
      </c>
      <c r="D154" s="322">
        <f t="shared" si="150"/>
        <v>-2774.0922574808501</v>
      </c>
      <c r="E154" s="351">
        <f t="shared" si="151"/>
        <v>-7.0620681184516518E-2</v>
      </c>
      <c r="F154" s="10">
        <f>'FY 2013 by Agency'!F154*Inflator!$E$4</f>
        <v>35830.985154168251</v>
      </c>
      <c r="G154" s="10">
        <f t="shared" si="152"/>
        <v>-676.50711785648309</v>
      </c>
      <c r="H154" s="14">
        <f t="shared" si="153"/>
        <v>-1.8530637843204658E-2</v>
      </c>
      <c r="I154" s="10">
        <f>'FY 2013 by Agency'!I154*Inflator!$E$5</f>
        <v>37898.630717738946</v>
      </c>
      <c r="J154" s="10">
        <f t="shared" si="154"/>
        <v>2067.6455635706952</v>
      </c>
      <c r="K154" s="14">
        <f t="shared" si="155"/>
        <v>5.7705518133937331E-2</v>
      </c>
      <c r="L154" s="10">
        <f>'FY 2013 by Agency'!L154*Inflator!$E$6</f>
        <v>37810.315521628494</v>
      </c>
      <c r="M154" s="10">
        <f t="shared" si="156"/>
        <v>-88.315196110452234</v>
      </c>
      <c r="N154" s="14">
        <f t="shared" si="157"/>
        <v>-2.3303004472168213E-3</v>
      </c>
      <c r="O154" s="10">
        <f>'FY 2013 by Agency'!O154*Inflator!$E$7</f>
        <v>34701.222808870109</v>
      </c>
      <c r="P154" s="52">
        <f t="shared" si="175"/>
        <v>-3109.0927127583855</v>
      </c>
      <c r="Q154" s="58">
        <f t="shared" si="184"/>
        <v>-8.2228689971653446E-2</v>
      </c>
      <c r="R154" s="52">
        <f>'FY 2013 by Agency'!R154*Inflator!$E$8</f>
        <v>33162.219280380174</v>
      </c>
      <c r="S154" s="52">
        <f t="shared" si="158"/>
        <v>-1539.003528489935</v>
      </c>
      <c r="T154" s="58">
        <f t="shared" si="185"/>
        <v>-4.4350123826084442E-2</v>
      </c>
      <c r="U154" s="52">
        <f>'FY 2013 by Agency'!U154*Inflator!$E$9</f>
        <v>27998.573607427054</v>
      </c>
      <c r="V154" s="52">
        <f t="shared" si="176"/>
        <v>-5163.6456729531201</v>
      </c>
      <c r="W154" s="58">
        <f t="shared" si="177"/>
        <v>-0.1557086885318347</v>
      </c>
      <c r="X154" s="52">
        <f>'FY 2013 by Agency'!X154*Inflator!$E$10</f>
        <v>30451.432200698637</v>
      </c>
      <c r="Y154" s="39">
        <f t="shared" si="178"/>
        <v>2452.8585932715832</v>
      </c>
      <c r="Z154" s="58">
        <f t="shared" si="186"/>
        <v>8.7606555521847179E-2</v>
      </c>
      <c r="AA154" s="52">
        <f>'FY 2013 by Agency'!AA154*Inflator!$E$11</f>
        <v>16270.130614845495</v>
      </c>
      <c r="AB154" s="39">
        <f t="shared" si="159"/>
        <v>-14181.301585853142</v>
      </c>
      <c r="AC154" s="58">
        <f t="shared" si="160"/>
        <v>-0.46570228593477403</v>
      </c>
      <c r="AD154" s="52" t="e">
        <f>'FY 2013 by Agency'!AD154*Inflator!#REF!</f>
        <v>#REF!</v>
      </c>
      <c r="AE154" s="52">
        <f>'FY 2013 by Agency'!AE154*Inflator!$B$8</f>
        <v>0</v>
      </c>
      <c r="AF154" s="52">
        <f>'FY 2013 by Agency'!AF154*Inflator!$E$12</f>
        <v>40782.387218045114</v>
      </c>
      <c r="AG154" s="52">
        <f t="shared" si="161"/>
        <v>24512.256603199618</v>
      </c>
      <c r="AH154" s="58">
        <f t="shared" si="162"/>
        <v>1.5065801979999895</v>
      </c>
      <c r="AI154" s="52">
        <f>'FY 2013 by Agency'!AI154*Inflator!$B$8</f>
        <v>0</v>
      </c>
      <c r="AJ154" s="52">
        <f>'FY 2013 by Agency'!AJ154*Inflator!$B$8</f>
        <v>0</v>
      </c>
      <c r="AK154" s="52">
        <f>'FY 2013 by Agency'!AK154</f>
        <v>30163</v>
      </c>
      <c r="AL154" s="52">
        <f>'FY 2013 by Agency'!AL154</f>
        <v>0</v>
      </c>
      <c r="AM154" s="52">
        <f>'FY 2013 by Agency'!AM154</f>
        <v>30163</v>
      </c>
      <c r="AN154" s="52">
        <f>'FY 2013 by Agency'!AN154</f>
        <v>28169</v>
      </c>
      <c r="AO154" s="52">
        <f>'FY 2013 by Agency'!AO154</f>
        <v>28169</v>
      </c>
      <c r="AP154" s="52">
        <f>'FY 2013 by Agency'!AP154</f>
        <v>0</v>
      </c>
      <c r="AQ154" s="52">
        <f>'FY 2013 by Agency'!AQ154</f>
        <v>18</v>
      </c>
      <c r="AR154" s="52">
        <f>'FY 2013 by Agency'!AR154</f>
        <v>18</v>
      </c>
      <c r="AS154" s="52">
        <f>'FY 2013 by Agency'!AS154</f>
        <v>29318.698120000001</v>
      </c>
      <c r="AT154" s="52" t="e">
        <f t="shared" si="163"/>
        <v>#REF!</v>
      </c>
      <c r="AU154" s="58" t="e">
        <f t="shared" si="164"/>
        <v>#REF!</v>
      </c>
      <c r="AV154" s="52">
        <f t="shared" si="165"/>
        <v>-11463.689098045113</v>
      </c>
      <c r="AW154" s="58">
        <f t="shared" si="166"/>
        <v>-0.28109411635846415</v>
      </c>
      <c r="AX154" s="282" t="s">
        <v>325</v>
      </c>
      <c r="AY154" s="65">
        <v>28169</v>
      </c>
      <c r="AZ154" s="65">
        <f t="shared" si="167"/>
        <v>0</v>
      </c>
      <c r="BA154" s="65">
        <f t="shared" si="168"/>
        <v>-11463.689098045113</v>
      </c>
      <c r="BB154" s="65">
        <f t="shared" si="169"/>
        <v>29318.698120000001</v>
      </c>
      <c r="BC154" s="58">
        <f t="shared" si="170"/>
        <v>-0.28109411635846415</v>
      </c>
      <c r="BD154" s="291">
        <v>0</v>
      </c>
      <c r="BE154" s="51">
        <f t="shared" si="187"/>
        <v>0</v>
      </c>
      <c r="BI154" s="219">
        <v>38169</v>
      </c>
      <c r="BJ154" s="65">
        <f t="shared" si="179"/>
        <v>10000</v>
      </c>
      <c r="BK154" s="65">
        <f t="shared" si="180"/>
        <v>38187</v>
      </c>
      <c r="BL154" s="568">
        <f>'FY 2013 by Agency'!AS154*Inflator!$E$13</f>
        <v>30401.262194617033</v>
      </c>
      <c r="BM154" s="52">
        <f t="shared" si="181"/>
        <v>-10381.125023428081</v>
      </c>
      <c r="BN154" s="51">
        <f t="shared" si="182"/>
        <v>-0.25454922410316166</v>
      </c>
      <c r="BO154" s="52">
        <f>'FY 2013 by Agency'!AX154*Inflator!$E$13</f>
        <v>39578.352761672271</v>
      </c>
      <c r="BP154" s="52">
        <f t="shared" si="171"/>
        <v>-1204.0344563728431</v>
      </c>
      <c r="BQ154" s="58">
        <f t="shared" si="172"/>
        <v>-2.9523393271105279E-2</v>
      </c>
      <c r="BR154" s="52">
        <f>'FY 2013 by Agency'!BE154*Inflator!$E$14</f>
        <v>19945.620782323083</v>
      </c>
      <c r="BS154" s="52">
        <f t="shared" si="173"/>
        <v>-19632.731979349188</v>
      </c>
      <c r="BT154" s="58">
        <f t="shared" si="174"/>
        <v>-0.49604722302545018</v>
      </c>
      <c r="BU154" s="52">
        <f>'FY 2013 by Agency'!BL154*Inflator!$E$14</f>
        <v>19945.620782323083</v>
      </c>
      <c r="BV154" s="52">
        <f t="shared" si="183"/>
        <v>-10455.64141229395</v>
      </c>
      <c r="BW154" s="39">
        <v>19822</v>
      </c>
      <c r="BX154" s="39">
        <f>'FY 2013 by Agency'!BW154*Inflator!E15</f>
        <v>19822</v>
      </c>
      <c r="BY154" s="534">
        <v>19822</v>
      </c>
      <c r="BZ154" s="39">
        <f t="shared" si="148"/>
        <v>-123.6207823230834</v>
      </c>
      <c r="CA154" s="51">
        <f t="shared" si="149"/>
        <v>-6.1978909391801435E-3</v>
      </c>
      <c r="CC154" s="39"/>
    </row>
    <row r="155" spans="1:81" ht="18" customHeight="1">
      <c r="A155" s="57" t="s">
        <v>26</v>
      </c>
      <c r="B155" s="322">
        <f>'FY 2013 by Agency'!B155*Inflator!$E$2</f>
        <v>994.47049441786294</v>
      </c>
      <c r="C155" s="322">
        <f>'FY 2013 by Agency'!C155*Inflator!$E$3</f>
        <v>1513.869397217929</v>
      </c>
      <c r="D155" s="322">
        <f t="shared" si="150"/>
        <v>519.39890280006603</v>
      </c>
      <c r="E155" s="351">
        <f t="shared" si="151"/>
        <v>0.52228689107976867</v>
      </c>
      <c r="F155" s="10">
        <f>'FY 2013 by Agency'!F155*Inflator!$E$4</f>
        <v>1985.5081842405787</v>
      </c>
      <c r="G155" s="10">
        <f t="shared" si="152"/>
        <v>471.63878702264969</v>
      </c>
      <c r="H155" s="14">
        <f t="shared" si="153"/>
        <v>0.31154522833303233</v>
      </c>
      <c r="I155" s="10">
        <f>'FY 2013 by Agency'!I155*Inflator!$E$5</f>
        <v>2011.7575306805506</v>
      </c>
      <c r="J155" s="10">
        <f t="shared" si="154"/>
        <v>26.249346439971987</v>
      </c>
      <c r="K155" s="14">
        <f t="shared" si="155"/>
        <v>1.3220467509687899E-2</v>
      </c>
      <c r="L155" s="10">
        <f>'FY 2013 by Agency'!L155*Inflator!$E$6</f>
        <v>2107.2293711377679</v>
      </c>
      <c r="M155" s="10">
        <f t="shared" si="156"/>
        <v>95.47184045721724</v>
      </c>
      <c r="N155" s="14">
        <f t="shared" si="157"/>
        <v>4.7456932061251136E-2</v>
      </c>
      <c r="O155" s="10">
        <f>'FY 2013 by Agency'!O155*Inflator!$E$7</f>
        <v>2649.2678634283698</v>
      </c>
      <c r="P155" s="52">
        <f t="shared" si="175"/>
        <v>542.03849229060188</v>
      </c>
      <c r="Q155" s="58">
        <f t="shared" si="184"/>
        <v>0.25722804537312238</v>
      </c>
      <c r="R155" s="52">
        <f>'FY 2013 by Agency'!R155*Inflator!$E$8</f>
        <v>2678.2606924643583</v>
      </c>
      <c r="S155" s="52">
        <f t="shared" si="158"/>
        <v>28.992829035988507</v>
      </c>
      <c r="T155" s="58">
        <f t="shared" si="185"/>
        <v>1.0943713709065798E-2</v>
      </c>
      <c r="U155" s="52">
        <f>'FY 2013 by Agency'!U155*Inflator!$E$9</f>
        <v>2657.7858090185673</v>
      </c>
      <c r="V155" s="52">
        <f t="shared" si="176"/>
        <v>-20.474883445790965</v>
      </c>
      <c r="W155" s="58">
        <f t="shared" si="177"/>
        <v>-7.6448433505370726E-3</v>
      </c>
      <c r="X155" s="52">
        <f>'FY 2013 by Agency'!X155*Inflator!$E$10</f>
        <v>2810.9844395046048</v>
      </c>
      <c r="Y155" s="39">
        <f t="shared" si="178"/>
        <v>153.19863048603747</v>
      </c>
      <c r="Z155" s="58">
        <f t="shared" si="186"/>
        <v>5.7641451002633154E-2</v>
      </c>
      <c r="AA155" s="52">
        <f>'FY 2013 by Agency'!AA155*Inflator!$E$11</f>
        <v>2984.4810449187644</v>
      </c>
      <c r="AB155" s="39">
        <f t="shared" si="159"/>
        <v>173.4966054141596</v>
      </c>
      <c r="AC155" s="58">
        <f t="shared" si="160"/>
        <v>6.1720941238911968E-2</v>
      </c>
      <c r="AD155" s="52" t="e">
        <f>'FY 2013 by Agency'!AD155*Inflator!#REF!</f>
        <v>#REF!</v>
      </c>
      <c r="AE155" s="52">
        <f>'FY 2013 by Agency'!AE155*Inflator!$B$8</f>
        <v>0</v>
      </c>
      <c r="AF155" s="52">
        <f>'FY 2013 by Agency'!AF155*Inflator!$E$12</f>
        <v>2365.3997493734337</v>
      </c>
      <c r="AG155" s="52">
        <f t="shared" si="161"/>
        <v>-619.0812955453307</v>
      </c>
      <c r="AH155" s="58">
        <f t="shared" si="162"/>
        <v>-0.20743348214569804</v>
      </c>
      <c r="AI155" s="52">
        <f>'FY 2013 by Agency'!AI155*Inflator!$B$8</f>
        <v>0</v>
      </c>
      <c r="AJ155" s="52">
        <f>'FY 2013 by Agency'!AJ155*Inflator!$B$8</f>
        <v>0</v>
      </c>
      <c r="AK155" s="52">
        <f>'FY 2013 by Agency'!AK155</f>
        <v>2673</v>
      </c>
      <c r="AL155" s="52">
        <f>'FY 2013 by Agency'!AL155</f>
        <v>5</v>
      </c>
      <c r="AM155" s="52">
        <f>'FY 2013 by Agency'!AM155</f>
        <v>2678</v>
      </c>
      <c r="AN155" s="52">
        <f>'FY 2013 by Agency'!AN155</f>
        <v>2200</v>
      </c>
      <c r="AO155" s="52">
        <f>'FY 2013 by Agency'!AO155</f>
        <v>2200</v>
      </c>
      <c r="AP155" s="52">
        <f>'FY 2013 by Agency'!AP155</f>
        <v>103</v>
      </c>
      <c r="AQ155" s="52">
        <f>'FY 2013 by Agency'!AQ155</f>
        <v>46</v>
      </c>
      <c r="AR155" s="52">
        <f>'FY 2013 by Agency'!AR155</f>
        <v>149</v>
      </c>
      <c r="AS155" s="52">
        <f>'FY 2013 by Agency'!AS155</f>
        <v>2299.1309999999999</v>
      </c>
      <c r="AT155" s="52" t="e">
        <f t="shared" si="163"/>
        <v>#REF!</v>
      </c>
      <c r="AU155" s="58" t="e">
        <f t="shared" si="164"/>
        <v>#REF!</v>
      </c>
      <c r="AV155" s="52">
        <f t="shared" si="165"/>
        <v>-66.26874937343382</v>
      </c>
      <c r="AW155" s="58">
        <f t="shared" si="166"/>
        <v>-2.8015877397039392E-2</v>
      </c>
      <c r="AX155" s="282" t="s">
        <v>326</v>
      </c>
      <c r="AY155" s="65">
        <v>2275.9595399999998</v>
      </c>
      <c r="AZ155" s="65">
        <f t="shared" si="167"/>
        <v>75.959539999999834</v>
      </c>
      <c r="BA155" s="65">
        <f t="shared" si="168"/>
        <v>9.6907906265660131</v>
      </c>
      <c r="BB155" s="65">
        <f t="shared" si="169"/>
        <v>2375.0905399999997</v>
      </c>
      <c r="BC155" s="58">
        <f t="shared" si="170"/>
        <v>4.0968934021121672E-3</v>
      </c>
      <c r="BD155" s="291">
        <v>11.824999999999999</v>
      </c>
      <c r="BE155" s="51">
        <f t="shared" si="187"/>
        <v>5.195610814768702E-3</v>
      </c>
      <c r="BF155" s="50">
        <v>77</v>
      </c>
      <c r="BI155" s="219">
        <v>2166</v>
      </c>
      <c r="BJ155" s="65">
        <f t="shared" si="179"/>
        <v>-109.95953999999983</v>
      </c>
      <c r="BK155" s="65">
        <f t="shared" si="180"/>
        <v>2315</v>
      </c>
      <c r="BL155" s="568">
        <f>'FY 2013 by Agency'!AS155*Inflator!$E$13</f>
        <v>2384.0241495270066</v>
      </c>
      <c r="BM155" s="52">
        <f t="shared" si="181"/>
        <v>18.624400153572878</v>
      </c>
      <c r="BN155" s="51">
        <f t="shared" si="182"/>
        <v>7.8736797695637961E-3</v>
      </c>
      <c r="BO155" s="52">
        <f>'FY 2013 by Agency'!AX155*Inflator!$E$13</f>
        <v>2245.9774183704612</v>
      </c>
      <c r="BP155" s="52">
        <f t="shared" si="171"/>
        <v>-119.42233100297244</v>
      </c>
      <c r="BQ155" s="58">
        <f t="shared" si="172"/>
        <v>-5.0487166507312768E-2</v>
      </c>
      <c r="BR155" s="52">
        <f>'FY 2013 by Agency'!BE155*Inflator!$E$14</f>
        <v>2179.4278889220664</v>
      </c>
      <c r="BS155" s="52">
        <f t="shared" si="173"/>
        <v>-66.549529448394878</v>
      </c>
      <c r="BT155" s="58">
        <f t="shared" si="174"/>
        <v>-2.963054254422513E-2</v>
      </c>
      <c r="BU155" s="52">
        <f>'FY 2013 by Agency'!BL155*Inflator!$E$14</f>
        <v>2278.8617497760529</v>
      </c>
      <c r="BV155" s="52">
        <f t="shared" si="183"/>
        <v>-105.16239975095368</v>
      </c>
      <c r="BW155" s="487">
        <v>2193</v>
      </c>
      <c r="BX155" s="39">
        <f>'FY 2013 by Agency'!BW155*Inflator!E15</f>
        <v>2293</v>
      </c>
      <c r="BY155" s="595">
        <v>2193</v>
      </c>
      <c r="BZ155" s="39">
        <f t="shared" si="148"/>
        <v>13.572111077933641</v>
      </c>
      <c r="CA155" s="51">
        <f t="shared" si="149"/>
        <v>6.227373315226473E-3</v>
      </c>
      <c r="CC155" s="39"/>
    </row>
    <row r="156" spans="1:81" ht="18" customHeight="1">
      <c r="A156" s="57" t="s">
        <v>27</v>
      </c>
      <c r="B156" s="322">
        <f>'FY 2013 by Agency'!B156*Inflator!$E$2</f>
        <v>1204.4744816586922</v>
      </c>
      <c r="C156" s="322">
        <f>'FY 2013 by Agency'!C156*Inflator!$E$3</f>
        <v>3029.0517774343125</v>
      </c>
      <c r="D156" s="322">
        <f t="shared" si="150"/>
        <v>1824.5772957756203</v>
      </c>
      <c r="E156" s="351">
        <f t="shared" si="151"/>
        <v>1.5148326706456905</v>
      </c>
      <c r="F156" s="10">
        <f>'FY 2013 by Agency'!F156*Inflator!$E$4</f>
        <v>3632.121811952798</v>
      </c>
      <c r="G156" s="10">
        <f t="shared" si="152"/>
        <v>603.0700345184855</v>
      </c>
      <c r="H156" s="14">
        <f t="shared" si="153"/>
        <v>0.19909532052611589</v>
      </c>
      <c r="I156" s="10">
        <f>'FY 2013 by Agency'!I156*Inflator!$E$5</f>
        <v>3742.9810338415773</v>
      </c>
      <c r="J156" s="10">
        <f t="shared" si="154"/>
        <v>110.8592218887793</v>
      </c>
      <c r="K156" s="14">
        <f t="shared" si="155"/>
        <v>3.0521889856214988E-2</v>
      </c>
      <c r="L156" s="10">
        <f>'FY 2013 by Agency'!L156*Inflator!$E$6</f>
        <v>3754.9691021446743</v>
      </c>
      <c r="M156" s="10">
        <f t="shared" si="156"/>
        <v>11.988068303096952</v>
      </c>
      <c r="N156" s="14">
        <f t="shared" si="157"/>
        <v>3.202812997102766E-3</v>
      </c>
      <c r="O156" s="10">
        <f>'FY 2013 by Agency'!O156*Inflator!$E$7</f>
        <v>4633.5276311158041</v>
      </c>
      <c r="P156" s="52">
        <f t="shared" si="175"/>
        <v>878.55852897112982</v>
      </c>
      <c r="Q156" s="58">
        <f t="shared" si="184"/>
        <v>0.23397223920413501</v>
      </c>
      <c r="R156" s="52">
        <f>'FY 2013 by Agency'!R156*Inflator!$E$8</f>
        <v>4212.3204344874403</v>
      </c>
      <c r="S156" s="52">
        <f t="shared" si="158"/>
        <v>-421.20719662836382</v>
      </c>
      <c r="T156" s="58">
        <f t="shared" si="185"/>
        <v>-9.0904216001606641E-2</v>
      </c>
      <c r="U156" s="52">
        <f>'FY 2013 by Agency'!U156*Inflator!$E$9</f>
        <v>4653.0968169761272</v>
      </c>
      <c r="V156" s="52">
        <f t="shared" si="176"/>
        <v>440.77638248868698</v>
      </c>
      <c r="W156" s="58">
        <f t="shared" si="177"/>
        <v>0.10463980348691615</v>
      </c>
      <c r="X156" s="52">
        <f>'FY 2013 by Agency'!X156*Inflator!$E$10</f>
        <v>4445.7796125754212</v>
      </c>
      <c r="Y156" s="39">
        <f t="shared" si="178"/>
        <v>-207.31720440070603</v>
      </c>
      <c r="Z156" s="58">
        <f t="shared" si="186"/>
        <v>-4.4554672416086474E-2</v>
      </c>
      <c r="AA156" s="52">
        <f>'FY 2013 by Agency'!AA156*Inflator!$E$11</f>
        <v>4965.4749920356808</v>
      </c>
      <c r="AB156" s="39">
        <f t="shared" si="159"/>
        <v>519.69537946025957</v>
      </c>
      <c r="AC156" s="58">
        <f t="shared" si="160"/>
        <v>0.11689634321733781</v>
      </c>
      <c r="AD156" s="52" t="e">
        <f>'FY 2013 by Agency'!AD156*Inflator!#REF!</f>
        <v>#REF!</v>
      </c>
      <c r="AE156" s="52">
        <f>'FY 2013 by Agency'!AE156*Inflator!$B$8</f>
        <v>0</v>
      </c>
      <c r="AF156" s="52">
        <f>'FY 2013 by Agency'!AF156*Inflator!$E$12</f>
        <v>3951.5588972431083</v>
      </c>
      <c r="AG156" s="52">
        <f t="shared" si="161"/>
        <v>-1013.9160947925725</v>
      </c>
      <c r="AH156" s="58">
        <f t="shared" si="162"/>
        <v>-0.204193173144328</v>
      </c>
      <c r="AI156" s="52">
        <f>'FY 2013 by Agency'!AI156*Inflator!$B$8</f>
        <v>0</v>
      </c>
      <c r="AJ156" s="52">
        <f>'FY 2013 by Agency'!AJ156*Inflator!$B$8</f>
        <v>0</v>
      </c>
      <c r="AK156" s="52">
        <f>'FY 2013 by Agency'!AK156</f>
        <v>3867</v>
      </c>
      <c r="AL156" s="52">
        <f>'FY 2013 by Agency'!AL156</f>
        <v>0</v>
      </c>
      <c r="AM156" s="52">
        <f>'FY 2013 by Agency'!AM156</f>
        <v>3867</v>
      </c>
      <c r="AN156" s="52">
        <f>'FY 2013 by Agency'!AN156</f>
        <v>2100</v>
      </c>
      <c r="AO156" s="52">
        <f>'FY 2013 by Agency'!AO156</f>
        <v>2100</v>
      </c>
      <c r="AP156" s="52">
        <f>'FY 2013 by Agency'!AP156</f>
        <v>78</v>
      </c>
      <c r="AQ156" s="52">
        <f>'FY 2013 by Agency'!AQ156</f>
        <v>5</v>
      </c>
      <c r="AR156" s="52">
        <f>'FY 2013 by Agency'!AR156</f>
        <v>83</v>
      </c>
      <c r="AS156" s="52">
        <f>'FY 2013 by Agency'!AS156</f>
        <v>2614.3733400000001</v>
      </c>
      <c r="AT156" s="52" t="e">
        <f t="shared" si="163"/>
        <v>#REF!</v>
      </c>
      <c r="AU156" s="58" t="e">
        <f t="shared" si="164"/>
        <v>#REF!</v>
      </c>
      <c r="AV156" s="52">
        <f t="shared" si="165"/>
        <v>-1337.1855572431082</v>
      </c>
      <c r="AW156" s="58">
        <f t="shared" si="166"/>
        <v>-0.33839443926193913</v>
      </c>
      <c r="AX156" s="279" t="s">
        <v>327</v>
      </c>
      <c r="AY156" s="65">
        <v>2488.6309999999999</v>
      </c>
      <c r="AZ156" s="65">
        <f t="shared" si="167"/>
        <v>388.63099999999986</v>
      </c>
      <c r="BA156" s="65">
        <f t="shared" si="168"/>
        <v>-948.55455724310832</v>
      </c>
      <c r="BB156" s="65">
        <f t="shared" si="169"/>
        <v>3003.00434</v>
      </c>
      <c r="BC156" s="58">
        <f t="shared" si="170"/>
        <v>-0.2400456584121492</v>
      </c>
      <c r="BD156" s="291">
        <v>213.065</v>
      </c>
      <c r="BE156" s="51">
        <f t="shared" si="187"/>
        <v>8.5615344339920227E-2</v>
      </c>
      <c r="BF156" s="50">
        <v>213</v>
      </c>
      <c r="BI156" s="219">
        <v>2664</v>
      </c>
      <c r="BJ156" s="65">
        <f t="shared" si="179"/>
        <v>175.36900000000014</v>
      </c>
      <c r="BK156" s="65">
        <f t="shared" si="180"/>
        <v>2747</v>
      </c>
      <c r="BL156" s="568">
        <f>'FY 2013 by Agency'!AS156*Inflator!$E$13</f>
        <v>2710.9065026914868</v>
      </c>
      <c r="BM156" s="52">
        <f t="shared" si="181"/>
        <v>-1240.6523945516215</v>
      </c>
      <c r="BN156" s="51">
        <f t="shared" si="182"/>
        <v>-0.3139653050387759</v>
      </c>
      <c r="BO156" s="52">
        <f>'FY 2013 by Agency'!AX156*Inflator!$E$13</f>
        <v>2762.365578272811</v>
      </c>
      <c r="BP156" s="52">
        <f t="shared" si="171"/>
        <v>-1189.1933189702972</v>
      </c>
      <c r="BQ156" s="58">
        <f t="shared" si="172"/>
        <v>-0.30094283038523456</v>
      </c>
      <c r="BR156" s="52">
        <f>'FY 2013 by Agency'!BE156*Inflator!$E$14</f>
        <v>2705.0068677217082</v>
      </c>
      <c r="BS156" s="52">
        <f t="shared" si="173"/>
        <v>-57.358710551102831</v>
      </c>
      <c r="BT156" s="58">
        <f t="shared" si="174"/>
        <v>-2.0764344517703835E-2</v>
      </c>
      <c r="BU156" s="52">
        <f>'FY 2013 by Agency'!BL156*Inflator!$E$14</f>
        <v>2786.1773663780236</v>
      </c>
      <c r="BV156" s="52">
        <f t="shared" si="183"/>
        <v>75.270863686536813</v>
      </c>
      <c r="BW156" s="487">
        <v>2685</v>
      </c>
      <c r="BX156" s="39">
        <f>'FY 2013 by Agency'!BW156*Inflator!E15</f>
        <v>2759</v>
      </c>
      <c r="BY156" s="595">
        <v>2685</v>
      </c>
      <c r="BZ156" s="39">
        <f t="shared" si="148"/>
        <v>-20.006867721708204</v>
      </c>
      <c r="CA156" s="51">
        <f t="shared" si="149"/>
        <v>-7.396235462632665E-3</v>
      </c>
      <c r="CC156" s="39"/>
    </row>
    <row r="157" spans="1:81" ht="18" customHeight="1">
      <c r="A157" s="59" t="s">
        <v>190</v>
      </c>
      <c r="B157" s="322">
        <f>'FY 2013 by Agency'!B157*Inflator!$E$2</f>
        <v>411.87878787878793</v>
      </c>
      <c r="C157" s="322">
        <f>'FY 2013 by Agency'!C157*Inflator!$E$3</f>
        <v>510.75038639876357</v>
      </c>
      <c r="D157" s="322">
        <f t="shared" si="150"/>
        <v>98.871598519975635</v>
      </c>
      <c r="E157" s="351">
        <f t="shared" si="151"/>
        <v>0.24005023183925805</v>
      </c>
      <c r="F157" s="10">
        <f>'FY 2013 by Agency'!F157*Inflator!$E$4</f>
        <v>3501.479253901789</v>
      </c>
      <c r="G157" s="10">
        <f t="shared" si="152"/>
        <v>2990.7288675030254</v>
      </c>
      <c r="H157" s="14">
        <f t="shared" si="153"/>
        <v>5.8555586978411833</v>
      </c>
      <c r="I157" s="10">
        <f>'FY 2013 by Agency'!I157*Inflator!$E$5</f>
        <v>3624.1963555224997</v>
      </c>
      <c r="J157" s="10">
        <f t="shared" si="154"/>
        <v>122.71710162071076</v>
      </c>
      <c r="K157" s="14">
        <f t="shared" si="155"/>
        <v>3.5047216539685025E-2</v>
      </c>
      <c r="L157" s="10">
        <f>'FY 2013 by Agency'!L157*Inflator!$E$6</f>
        <v>2441.9651035986913</v>
      </c>
      <c r="M157" s="10">
        <f t="shared" si="156"/>
        <v>-1182.2312519238085</v>
      </c>
      <c r="N157" s="14">
        <f t="shared" si="157"/>
        <v>-0.32620507719520797</v>
      </c>
      <c r="O157" s="10">
        <f>'FY 2013 by Agency'!O157*Inflator!$E$7</f>
        <v>5150.2245688137973</v>
      </c>
      <c r="P157" s="52">
        <f t="shared" si="175"/>
        <v>2708.259465215106</v>
      </c>
      <c r="Q157" s="58">
        <f t="shared" si="184"/>
        <v>1.1090492084526435</v>
      </c>
      <c r="R157" s="52">
        <f>'FY 2013 by Agency'!R157*Inflator!$E$8</f>
        <v>3464.8988458927356</v>
      </c>
      <c r="S157" s="52">
        <f t="shared" si="158"/>
        <v>-1685.3257229210617</v>
      </c>
      <c r="T157" s="58">
        <f t="shared" si="185"/>
        <v>-0.32723344397955578</v>
      </c>
      <c r="U157" s="52">
        <f>'FY 2013 by Agency'!U157*Inflator!$E$9</f>
        <v>-2.2533156498673739</v>
      </c>
      <c r="V157" s="52">
        <f t="shared" si="176"/>
        <v>-3467.1521615426032</v>
      </c>
      <c r="W157" s="58">
        <f t="shared" si="177"/>
        <v>-1.0006503265319098</v>
      </c>
      <c r="X157" s="52">
        <f>'FY 2013 by Agency'!X157*Inflator!$E$10</f>
        <v>-36.688472530962216</v>
      </c>
      <c r="Y157" s="39">
        <f t="shared" si="178"/>
        <v>-34.435156881094841</v>
      </c>
      <c r="Z157" s="58">
        <f t="shared" si="186"/>
        <v>15.281994283899653</v>
      </c>
      <c r="AA157" s="52">
        <f>'FY 2013 by Agency'!AA157*Inflator!$E$11</f>
        <v>0</v>
      </c>
      <c r="AB157" s="39">
        <f t="shared" si="159"/>
        <v>36.688472530962216</v>
      </c>
      <c r="AC157" s="58">
        <f t="shared" si="160"/>
        <v>-1</v>
      </c>
      <c r="AD157" s="52" t="e">
        <f>'FY 2013 by Agency'!AD157*Inflator!#REF!</f>
        <v>#REF!</v>
      </c>
      <c r="AE157" s="52">
        <f>'FY 2013 by Agency'!AE157*Inflator!$B$8</f>
        <v>0</v>
      </c>
      <c r="AF157" s="52">
        <f>'FY 2013 by Agency'!AF157*Inflator!$E$12</f>
        <v>0</v>
      </c>
      <c r="AG157" s="52">
        <f t="shared" si="161"/>
        <v>0</v>
      </c>
      <c r="AH157" s="58" t="e">
        <f t="shared" si="162"/>
        <v>#DIV/0!</v>
      </c>
      <c r="AI157" s="52">
        <f>'FY 2013 by Agency'!AI157*Inflator!$B$8</f>
        <v>0</v>
      </c>
      <c r="AJ157" s="52">
        <f>'FY 2013 by Agency'!AJ157*Inflator!$B$8</f>
        <v>0</v>
      </c>
      <c r="AK157" s="52">
        <f>'FY 2013 by Agency'!AK157</f>
        <v>0</v>
      </c>
      <c r="AL157" s="52">
        <f>'FY 2013 by Agency'!AL157</f>
        <v>0</v>
      </c>
      <c r="AM157" s="52">
        <f>'FY 2013 by Agency'!AM157</f>
        <v>0</v>
      </c>
      <c r="AN157" s="52">
        <f>'FY 2013 by Agency'!AN157</f>
        <v>0</v>
      </c>
      <c r="AO157" s="52">
        <f>'FY 2013 by Agency'!AO157</f>
        <v>0</v>
      </c>
      <c r="AP157" s="52">
        <f>'FY 2013 by Agency'!AP157</f>
        <v>0</v>
      </c>
      <c r="AQ157" s="52">
        <f>'FY 2013 by Agency'!AQ157</f>
        <v>0</v>
      </c>
      <c r="AR157" s="52">
        <f>'FY 2013 by Agency'!AR157</f>
        <v>0</v>
      </c>
      <c r="AS157" s="52">
        <f>'FY 2013 by Agency'!AS157</f>
        <v>0</v>
      </c>
      <c r="AT157" s="52" t="e">
        <f t="shared" si="163"/>
        <v>#REF!</v>
      </c>
      <c r="AU157" s="58" t="e">
        <f t="shared" si="164"/>
        <v>#REF!</v>
      </c>
      <c r="AV157" s="52">
        <f t="shared" si="165"/>
        <v>0</v>
      </c>
      <c r="AW157" s="58" t="e">
        <f t="shared" si="166"/>
        <v>#DIV/0!</v>
      </c>
      <c r="AY157" s="65"/>
      <c r="AZ157" s="65">
        <f t="shared" si="167"/>
        <v>0</v>
      </c>
      <c r="BA157" s="65">
        <f t="shared" si="168"/>
        <v>0</v>
      </c>
      <c r="BB157" s="65">
        <f t="shared" si="169"/>
        <v>0</v>
      </c>
      <c r="BC157" s="58"/>
      <c r="BD157" s="291"/>
      <c r="BE157" s="299"/>
      <c r="BI157" s="65"/>
      <c r="BJ157" s="65">
        <f t="shared" si="179"/>
        <v>0</v>
      </c>
      <c r="BK157" s="65">
        <f t="shared" si="180"/>
        <v>0</v>
      </c>
      <c r="BL157" s="568">
        <f>'FY 2013 by Agency'!AS157*Inflator!$E$13</f>
        <v>0</v>
      </c>
      <c r="BM157" s="52">
        <f t="shared" si="181"/>
        <v>0</v>
      </c>
      <c r="BN157" s="51" t="e">
        <f t="shared" si="182"/>
        <v>#DIV/0!</v>
      </c>
      <c r="BO157" s="52">
        <f>'FY 2013 by Agency'!AX157*Inflator!$E$13</f>
        <v>0</v>
      </c>
      <c r="BP157" s="52">
        <f t="shared" si="171"/>
        <v>0</v>
      </c>
      <c r="BQ157" s="58" t="e">
        <f t="shared" si="172"/>
        <v>#DIV/0!</v>
      </c>
      <c r="BR157" s="52">
        <f>'FY 2013 by Agency'!BE157*Inflator!$E$14</f>
        <v>0</v>
      </c>
      <c r="BS157" s="52">
        <f t="shared" si="173"/>
        <v>0</v>
      </c>
      <c r="BT157" s="58" t="e">
        <f t="shared" si="174"/>
        <v>#DIV/0!</v>
      </c>
      <c r="BU157" s="52">
        <f>'FY 2013 by Agency'!BL157*Inflator!$E$14</f>
        <v>0</v>
      </c>
      <c r="BV157" s="52">
        <f t="shared" si="183"/>
        <v>0</v>
      </c>
      <c r="BW157" s="39">
        <v>0</v>
      </c>
      <c r="BX157" s="39">
        <f>'FY 2013 by Agency'!BW156*Inflator!E26</f>
        <v>0</v>
      </c>
      <c r="BY157" s="534"/>
      <c r="BZ157" s="39">
        <f t="shared" si="148"/>
        <v>0</v>
      </c>
      <c r="CA157" s="51" t="e">
        <f t="shared" si="149"/>
        <v>#DIV/0!</v>
      </c>
      <c r="CC157" s="39"/>
    </row>
    <row r="158" spans="1:81" ht="18" customHeight="1">
      <c r="A158" s="57" t="s">
        <v>74</v>
      </c>
      <c r="B158" s="322">
        <f>'FY 2013 by Agency'!B158*Inflator!$E$2</f>
        <v>0</v>
      </c>
      <c r="C158" s="322">
        <f>'FY 2013 by Agency'!C158*Inflator!$E$3</f>
        <v>6564.9149922720253</v>
      </c>
      <c r="D158" s="322">
        <f t="shared" si="150"/>
        <v>6564.9149922720253</v>
      </c>
      <c r="E158" s="330" t="s">
        <v>78</v>
      </c>
      <c r="F158" s="10">
        <f>'FY 2013 by Agency'!F158*Inflator!$E$4</f>
        <v>7542.344118766654</v>
      </c>
      <c r="G158" s="10">
        <f t="shared" si="152"/>
        <v>977.42912649462869</v>
      </c>
      <c r="H158" s="14">
        <f t="shared" si="153"/>
        <v>0.14888679101636837</v>
      </c>
      <c r="I158" s="10">
        <f>'FY 2013 by Agency'!I158*Inflator!$E$5</f>
        <v>3624.1963555224997</v>
      </c>
      <c r="J158" s="10">
        <f t="shared" si="154"/>
        <v>-3918.1477632441542</v>
      </c>
      <c r="K158" s="14">
        <f t="shared" si="155"/>
        <v>-0.51948674066662193</v>
      </c>
      <c r="L158" s="10">
        <f>'FY 2013 by Agency'!L158*Inflator!$E$6</f>
        <v>6012.8913122500899</v>
      </c>
      <c r="M158" s="10">
        <f t="shared" si="156"/>
        <v>2388.6949567275901</v>
      </c>
      <c r="N158" s="14">
        <f t="shared" si="157"/>
        <v>0.65909645129677652</v>
      </c>
      <c r="O158" s="10">
        <f>'FY 2013 by Agency'!O158*Inflator!$E$7</f>
        <v>6061.620556142203</v>
      </c>
      <c r="P158" s="52">
        <f t="shared" si="175"/>
        <v>48.729243892113118</v>
      </c>
      <c r="Q158" s="58">
        <f t="shared" si="184"/>
        <v>8.1041285068361064E-3</v>
      </c>
      <c r="R158" s="52">
        <f>'FY 2013 by Agency'!R158*Inflator!$E$8</f>
        <v>10668.059063136456</v>
      </c>
      <c r="S158" s="52">
        <f t="shared" si="158"/>
        <v>4606.4385069942527</v>
      </c>
      <c r="T158" s="58">
        <f t="shared" si="185"/>
        <v>0.75993514676971607</v>
      </c>
      <c r="U158" s="52">
        <f>'FY 2013 by Agency'!U158*Inflator!$E$9</f>
        <v>14750.204244031829</v>
      </c>
      <c r="V158" s="52">
        <f t="shared" si="176"/>
        <v>4082.1451808953734</v>
      </c>
      <c r="W158" s="58">
        <f t="shared" si="177"/>
        <v>0.38265116050971743</v>
      </c>
      <c r="X158" s="52">
        <f>'FY 2013 by Agency'!X158*Inflator!$E$10</f>
        <v>22456.582407113372</v>
      </c>
      <c r="Y158" s="39">
        <f t="shared" si="178"/>
        <v>7706.3781630815429</v>
      </c>
      <c r="Z158" s="58">
        <f t="shared" si="186"/>
        <v>0.52245908162252519</v>
      </c>
      <c r="AA158" s="52">
        <f>'FY 2013 by Agency'!AA158*Inflator!$E$11</f>
        <v>19983.141127747695</v>
      </c>
      <c r="AB158" s="39">
        <f t="shared" si="159"/>
        <v>-2473.4412793656775</v>
      </c>
      <c r="AC158" s="58">
        <f t="shared" si="160"/>
        <v>-0.11014326376671579</v>
      </c>
      <c r="AD158" s="52" t="e">
        <f>'FY 2013 by Agency'!AD158*Inflator!#REF!</f>
        <v>#REF!</v>
      </c>
      <c r="AE158" s="52">
        <f>'FY 2013 by Agency'!AE158*Inflator!$B$8</f>
        <v>0</v>
      </c>
      <c r="AF158" s="52">
        <f>'FY 2013 by Agency'!AF158*Inflator!$E$12</f>
        <v>11286.214285714286</v>
      </c>
      <c r="AG158" s="52">
        <f t="shared" si="161"/>
        <v>-8696.9268420334083</v>
      </c>
      <c r="AH158" s="58">
        <f t="shared" si="162"/>
        <v>-0.43521320229066718</v>
      </c>
      <c r="AI158" s="52">
        <f>'FY 2013 by Agency'!AI158*Inflator!$B$8</f>
        <v>0</v>
      </c>
      <c r="AJ158" s="52">
        <f>'FY 2013 by Agency'!AJ158*Inflator!$B$8</f>
        <v>0</v>
      </c>
      <c r="AK158" s="52">
        <f>'FY 2013 by Agency'!AK158</f>
        <v>0</v>
      </c>
      <c r="AL158" s="52">
        <f>'FY 2013 by Agency'!AL158</f>
        <v>10602</v>
      </c>
      <c r="AM158" s="52">
        <f>'FY 2013 by Agency'!AM158</f>
        <v>10602</v>
      </c>
      <c r="AN158" s="52">
        <f>'FY 2013 by Agency'!AN158</f>
        <v>7200</v>
      </c>
      <c r="AO158" s="52">
        <f>'FY 2013 by Agency'!AO158</f>
        <v>7200</v>
      </c>
      <c r="AP158" s="52">
        <f>'FY 2013 by Agency'!AP158</f>
        <v>0</v>
      </c>
      <c r="AQ158" s="52">
        <f>'FY 2013 by Agency'!AQ158</f>
        <v>0</v>
      </c>
      <c r="AR158" s="52">
        <f>'FY 2013 by Agency'!AR158</f>
        <v>0</v>
      </c>
      <c r="AS158" s="52">
        <f>'FY 2013 by Agency'!AS158</f>
        <v>5120</v>
      </c>
      <c r="AT158" s="52" t="e">
        <f t="shared" si="163"/>
        <v>#REF!</v>
      </c>
      <c r="AU158" s="58" t="e">
        <f t="shared" si="164"/>
        <v>#REF!</v>
      </c>
      <c r="AV158" s="52">
        <f t="shared" si="165"/>
        <v>-6166.2142857142862</v>
      </c>
      <c r="AW158" s="58">
        <f t="shared" si="166"/>
        <v>-0.54634921237666689</v>
      </c>
      <c r="AX158" s="282" t="s">
        <v>328</v>
      </c>
      <c r="AY158" s="65">
        <v>7200</v>
      </c>
      <c r="AZ158" s="65">
        <f t="shared" si="167"/>
        <v>0</v>
      </c>
      <c r="BA158" s="65">
        <f t="shared" si="168"/>
        <v>-6166.2142857142862</v>
      </c>
      <c r="BB158" s="65">
        <f t="shared" si="169"/>
        <v>5120</v>
      </c>
      <c r="BC158" s="58">
        <f t="shared" si="170"/>
        <v>-0.54634921237666689</v>
      </c>
      <c r="BD158" s="291">
        <v>720</v>
      </c>
      <c r="BE158" s="51">
        <f t="shared" ref="BE158:BE163" si="188">BD158/AY158</f>
        <v>0.1</v>
      </c>
      <c r="BI158" s="219">
        <v>4625</v>
      </c>
      <c r="BJ158" s="65">
        <f t="shared" si="179"/>
        <v>-2575</v>
      </c>
      <c r="BK158" s="65">
        <f t="shared" si="180"/>
        <v>4625</v>
      </c>
      <c r="BL158" s="568">
        <f>'FY 2013 by Agency'!AS158*Inflator!$E$13</f>
        <v>5309.0509612450423</v>
      </c>
      <c r="BM158" s="52">
        <f t="shared" si="181"/>
        <v>-5977.1633244692439</v>
      </c>
      <c r="BN158" s="51">
        <f t="shared" si="182"/>
        <v>-0.52959860349585408</v>
      </c>
      <c r="BO158" s="52">
        <f>'FY 2013 by Agency'!AX158*Inflator!$E$13</f>
        <v>4795.7735733902964</v>
      </c>
      <c r="BP158" s="52">
        <f t="shared" si="171"/>
        <v>-6490.4407123239898</v>
      </c>
      <c r="BQ158" s="58">
        <f t="shared" si="172"/>
        <v>-0.57507686350943854</v>
      </c>
      <c r="BR158" s="52">
        <f>'FY 2013 by Agency'!BE158*Inflator!$E$14</f>
        <v>3043.8936996118246</v>
      </c>
      <c r="BS158" s="52">
        <f t="shared" si="173"/>
        <v>-1751.8798737784718</v>
      </c>
      <c r="BT158" s="58">
        <f t="shared" si="174"/>
        <v>-0.36529661940232261</v>
      </c>
      <c r="BU158" s="52">
        <f>'FY 2013 by Agency'!BL158*Inflator!$E$14</f>
        <v>3043.8936996118246</v>
      </c>
      <c r="BV158" s="52">
        <f t="shared" si="183"/>
        <v>-2265.1572616332178</v>
      </c>
      <c r="BW158" s="39">
        <v>3000</v>
      </c>
      <c r="BX158" s="39"/>
      <c r="BY158" s="534">
        <v>3000</v>
      </c>
      <c r="BZ158" s="39">
        <f t="shared" si="148"/>
        <v>-43.893699611824559</v>
      </c>
      <c r="CA158" s="51">
        <f t="shared" si="149"/>
        <v>-1.442024720423783E-2</v>
      </c>
      <c r="CC158" s="39"/>
    </row>
    <row r="159" spans="1:81" ht="18" customHeight="1">
      <c r="A159" s="57" t="s">
        <v>28</v>
      </c>
      <c r="B159" s="322">
        <f>'FY 2013 by Agency'!B159*Inflator!$E$2</f>
        <v>0</v>
      </c>
      <c r="C159" s="322">
        <f>'FY 2013 by Agency'!C159*Inflator!$E$3</f>
        <v>0</v>
      </c>
      <c r="D159" s="322">
        <f t="shared" si="150"/>
        <v>0</v>
      </c>
      <c r="E159" s="330" t="s">
        <v>78</v>
      </c>
      <c r="F159" s="10">
        <f>'FY 2013 by Agency'!F159*Inflator!$E$4</f>
        <v>256.11115340692805</v>
      </c>
      <c r="G159" s="10">
        <f t="shared" si="152"/>
        <v>256.11115340692805</v>
      </c>
      <c r="H159" s="330" t="s">
        <v>78</v>
      </c>
      <c r="I159" s="10">
        <f>'FY 2013 by Agency'!I159*Inflator!$E$5</f>
        <v>256.5243584975828</v>
      </c>
      <c r="J159" s="10">
        <f t="shared" si="154"/>
        <v>0.41320509065474198</v>
      </c>
      <c r="K159" s="14">
        <f t="shared" si="155"/>
        <v>1.6133818662641827E-3</v>
      </c>
      <c r="L159" s="10">
        <f>'FY 2013 by Agency'!L159*Inflator!$E$6</f>
        <v>394.02471828426025</v>
      </c>
      <c r="M159" s="10">
        <f t="shared" si="156"/>
        <v>137.50035978667745</v>
      </c>
      <c r="N159" s="14">
        <f t="shared" si="157"/>
        <v>0.53601287843381584</v>
      </c>
      <c r="O159" s="10">
        <f>'FY 2013 by Agency'!O159*Inflator!$E$7</f>
        <v>419.81626187961979</v>
      </c>
      <c r="P159" s="52">
        <f t="shared" si="175"/>
        <v>25.791543595359542</v>
      </c>
      <c r="Q159" s="58">
        <f t="shared" si="184"/>
        <v>6.5456664007441323E-2</v>
      </c>
      <c r="R159" s="52">
        <f>'FY 2013 by Agency'!R159*Inflator!$E$8</f>
        <v>698.9775967413442</v>
      </c>
      <c r="S159" s="52">
        <f t="shared" si="158"/>
        <v>279.16133486172441</v>
      </c>
      <c r="T159" s="58">
        <f t="shared" si="185"/>
        <v>0.66496074642714176</v>
      </c>
      <c r="U159" s="52">
        <f>'FY 2013 by Agency'!U159*Inflator!$E$9</f>
        <v>917.09946949602113</v>
      </c>
      <c r="V159" s="52">
        <f t="shared" si="176"/>
        <v>218.12187275467693</v>
      </c>
      <c r="W159" s="58">
        <f t="shared" si="177"/>
        <v>0.31205846048795849</v>
      </c>
      <c r="X159" s="52">
        <f>'FY 2013 by Agency'!X159*Inflator!$E$10</f>
        <v>1003.5376309939664</v>
      </c>
      <c r="Y159" s="39">
        <f t="shared" si="178"/>
        <v>86.438161497945316</v>
      </c>
      <c r="Z159" s="58">
        <f t="shared" si="186"/>
        <v>9.4251675388544467E-2</v>
      </c>
      <c r="AA159" s="52">
        <f>'FY 2013 by Agency'!AA159*Inflator!$E$11</f>
        <v>1044.6224912392483</v>
      </c>
      <c r="AB159" s="39">
        <f t="shared" si="159"/>
        <v>41.084860245281902</v>
      </c>
      <c r="AC159" s="58">
        <f t="shared" si="160"/>
        <v>4.0940029527929994E-2</v>
      </c>
      <c r="AD159" s="52" t="e">
        <f>'FY 2013 by Agency'!AD159*Inflator!#REF!</f>
        <v>#REF!</v>
      </c>
      <c r="AE159" s="52">
        <f>'FY 2013 by Agency'!AE159*Inflator!$B$8</f>
        <v>0</v>
      </c>
      <c r="AF159" s="52">
        <f>'FY 2013 by Agency'!AF159*Inflator!$E$12</f>
        <v>925.08208020050131</v>
      </c>
      <c r="AG159" s="52">
        <f t="shared" si="161"/>
        <v>-119.54041103874704</v>
      </c>
      <c r="AH159" s="58">
        <f t="shared" si="162"/>
        <v>-0.11443407742153321</v>
      </c>
      <c r="AI159" s="52">
        <f>'FY 2013 by Agency'!AI159*Inflator!$B$8</f>
        <v>0</v>
      </c>
      <c r="AJ159" s="52">
        <f>'FY 2013 by Agency'!AJ159*Inflator!$B$8</f>
        <v>0</v>
      </c>
      <c r="AK159" s="52">
        <f>'FY 2013 by Agency'!AK159</f>
        <v>993</v>
      </c>
      <c r="AL159" s="52">
        <f>'FY 2013 by Agency'!AL159</f>
        <v>0</v>
      </c>
      <c r="AM159" s="52">
        <f>'FY 2013 by Agency'!AM159</f>
        <v>993</v>
      </c>
      <c r="AN159" s="52">
        <f>'FY 2013 by Agency'!AN159</f>
        <v>815</v>
      </c>
      <c r="AO159" s="52">
        <f>'FY 2013 by Agency'!AO159</f>
        <v>815</v>
      </c>
      <c r="AP159" s="52">
        <f>'FY 2013 by Agency'!AP159</f>
        <v>36</v>
      </c>
      <c r="AQ159" s="52">
        <f>'FY 2013 by Agency'!AQ159</f>
        <v>12</v>
      </c>
      <c r="AR159" s="52">
        <f>'FY 2013 by Agency'!AR159</f>
        <v>48</v>
      </c>
      <c r="AS159" s="52">
        <f>'FY 2013 by Agency'!AS159</f>
        <v>829.48931000000005</v>
      </c>
      <c r="AT159" s="52" t="e">
        <f t="shared" si="163"/>
        <v>#REF!</v>
      </c>
      <c r="AU159" s="58" t="e">
        <f t="shared" si="164"/>
        <v>#REF!</v>
      </c>
      <c r="AV159" s="52">
        <f t="shared" si="165"/>
        <v>-95.592770200501263</v>
      </c>
      <c r="AW159" s="58">
        <f t="shared" si="166"/>
        <v>-0.10333436594056886</v>
      </c>
      <c r="AX159" s="282" t="s">
        <v>329</v>
      </c>
      <c r="AY159" s="65">
        <v>815</v>
      </c>
      <c r="AZ159" s="65">
        <f t="shared" si="167"/>
        <v>0</v>
      </c>
      <c r="BA159" s="65">
        <f t="shared" si="168"/>
        <v>-95.592770200501263</v>
      </c>
      <c r="BB159" s="65">
        <f t="shared" si="169"/>
        <v>829.48931000000005</v>
      </c>
      <c r="BC159" s="58">
        <f t="shared" si="170"/>
        <v>-0.10333436594056888</v>
      </c>
      <c r="BD159" s="291">
        <v>31.093</v>
      </c>
      <c r="BE159" s="51">
        <f t="shared" si="188"/>
        <v>3.8150920245398776E-2</v>
      </c>
      <c r="BF159" s="50">
        <v>31</v>
      </c>
      <c r="BI159" s="219">
        <v>776</v>
      </c>
      <c r="BJ159" s="65">
        <f t="shared" si="179"/>
        <v>-39</v>
      </c>
      <c r="BK159" s="65">
        <f t="shared" si="180"/>
        <v>824</v>
      </c>
      <c r="BL159" s="568">
        <f>'FY 2013 by Agency'!AS159*Inflator!$E$13</f>
        <v>860.11738644491936</v>
      </c>
      <c r="BM159" s="52">
        <f t="shared" si="181"/>
        <v>-64.964693755581948</v>
      </c>
      <c r="BN159" s="51">
        <f t="shared" si="182"/>
        <v>-7.0225869840113614E-2</v>
      </c>
      <c r="BO159" s="52">
        <f>'FY 2013 by Agency'!AX159*Inflator!$E$13</f>
        <v>804.6530363137017</v>
      </c>
      <c r="BP159" s="52">
        <f t="shared" si="171"/>
        <v>-120.4290438867996</v>
      </c>
      <c r="BQ159" s="58">
        <f t="shared" si="172"/>
        <v>-0.13018200921230463</v>
      </c>
      <c r="BR159" s="52">
        <f>'FY 2013 by Agency'!BE159*Inflator!$E$14</f>
        <v>779.23678710062711</v>
      </c>
      <c r="BS159" s="52">
        <f t="shared" si="173"/>
        <v>-25.416249213074593</v>
      </c>
      <c r="BT159" s="58">
        <f t="shared" si="174"/>
        <v>-3.1586594551997471E-2</v>
      </c>
      <c r="BU159" s="52">
        <f>'FY 2013 by Agency'!BL159*Inflator!$E$14</f>
        <v>815.76351149596906</v>
      </c>
      <c r="BV159" s="52">
        <f t="shared" si="183"/>
        <v>-44.353874948950306</v>
      </c>
      <c r="BW159" s="487">
        <v>780</v>
      </c>
      <c r="BX159" s="39">
        <f>'FY 2013 by Agency'!BW159*Inflator!E15</f>
        <v>815</v>
      </c>
      <c r="BY159" s="595">
        <v>780</v>
      </c>
      <c r="BZ159" s="39">
        <f t="shared" si="148"/>
        <v>0.76321289937288839</v>
      </c>
      <c r="CA159" s="51">
        <f t="shared" si="149"/>
        <v>9.7943643319592225E-4</v>
      </c>
      <c r="CC159" s="39"/>
    </row>
    <row r="160" spans="1:81" ht="18" customHeight="1">
      <c r="A160" s="57" t="s">
        <v>29</v>
      </c>
      <c r="B160" s="322">
        <f>'FY 2013 by Agency'!B160*Inflator!$E$2</f>
        <v>0</v>
      </c>
      <c r="C160" s="322">
        <f>'FY 2013 by Agency'!C160*Inflator!$E$3</f>
        <v>0</v>
      </c>
      <c r="D160" s="322">
        <f t="shared" si="150"/>
        <v>0</v>
      </c>
      <c r="E160" s="330" t="s">
        <v>78</v>
      </c>
      <c r="F160" s="10">
        <f>'FY 2013 by Agency'!F160*Inflator!$E$4</f>
        <v>222.4803958888466</v>
      </c>
      <c r="G160" s="10">
        <f t="shared" si="152"/>
        <v>222.4803958888466</v>
      </c>
      <c r="H160" s="330" t="s">
        <v>78</v>
      </c>
      <c r="I160" s="10">
        <f>'FY 2013 by Agency'!I160*Inflator!$E$5</f>
        <v>295.69802900706588</v>
      </c>
      <c r="J160" s="10">
        <f t="shared" si="154"/>
        <v>73.217633118219283</v>
      </c>
      <c r="K160" s="14">
        <f t="shared" si="155"/>
        <v>0.32909701021387761</v>
      </c>
      <c r="L160" s="10">
        <f>'FY 2013 by Agency'!L160*Inflator!$E$6</f>
        <v>286.563431479462</v>
      </c>
      <c r="M160" s="10">
        <f t="shared" si="156"/>
        <v>-9.1345975276038871</v>
      </c>
      <c r="N160" s="14">
        <f t="shared" si="157"/>
        <v>-3.0891641578664735E-2</v>
      </c>
      <c r="O160" s="10">
        <f>'FY 2013 by Agency'!O160*Inflator!$E$7</f>
        <v>278.68145019359378</v>
      </c>
      <c r="P160" s="52">
        <f t="shared" si="175"/>
        <v>-7.8819812858682212</v>
      </c>
      <c r="Q160" s="58">
        <f t="shared" si="184"/>
        <v>-2.7505188799475704E-2</v>
      </c>
      <c r="R160" s="52">
        <f>'FY 2013 by Agency'!R160*Inflator!$E$8</f>
        <v>306.81194840461643</v>
      </c>
      <c r="S160" s="52">
        <f t="shared" si="158"/>
        <v>28.130498211022655</v>
      </c>
      <c r="T160" s="58">
        <f t="shared" si="185"/>
        <v>0.10094140887913791</v>
      </c>
      <c r="U160" s="52">
        <f>'FY 2013 by Agency'!U160*Inflator!$E$9</f>
        <v>344.75729442970822</v>
      </c>
      <c r="V160" s="52">
        <f t="shared" si="176"/>
        <v>37.945346025091794</v>
      </c>
      <c r="W160" s="58">
        <f t="shared" si="177"/>
        <v>0.12367623302287549</v>
      </c>
      <c r="X160" s="52">
        <f>'FY 2013 by Agency'!X160*Inflator!$E$10</f>
        <v>318.32645284217216</v>
      </c>
      <c r="Y160" s="39">
        <f t="shared" si="178"/>
        <v>-26.430841587536065</v>
      </c>
      <c r="Z160" s="58">
        <f t="shared" si="186"/>
        <v>-7.6665068483199247E-2</v>
      </c>
      <c r="AA160" s="52">
        <f>'FY 2013 by Agency'!AA160*Inflator!$E$11</f>
        <v>500.11978337050022</v>
      </c>
      <c r="AB160" s="39">
        <f t="shared" si="159"/>
        <v>181.79333052832806</v>
      </c>
      <c r="AC160" s="58">
        <f t="shared" si="160"/>
        <v>0.57109086883980109</v>
      </c>
      <c r="AD160" s="52" t="e">
        <f>'FY 2013 by Agency'!AD160*Inflator!#REF!</f>
        <v>#REF!</v>
      </c>
      <c r="AE160" s="52">
        <f>'FY 2013 by Agency'!AE160*Inflator!$B$8</f>
        <v>0</v>
      </c>
      <c r="AF160" s="52">
        <f>'FY 2013 by Agency'!AF160*Inflator!$E$12</f>
        <v>450.29887218045116</v>
      </c>
      <c r="AG160" s="52">
        <f t="shared" si="161"/>
        <v>-49.82091119004906</v>
      </c>
      <c r="AH160" s="58">
        <f t="shared" si="162"/>
        <v>-9.9617957230739226E-2</v>
      </c>
      <c r="AI160" s="52">
        <f>'FY 2013 by Agency'!AI160*Inflator!$B$8</f>
        <v>0</v>
      </c>
      <c r="AJ160" s="52">
        <f>'FY 2013 by Agency'!AJ160*Inflator!$B$8</f>
        <v>0</v>
      </c>
      <c r="AK160" s="52">
        <f>'FY 2013 by Agency'!AK160</f>
        <v>480</v>
      </c>
      <c r="AL160" s="52">
        <f>'FY 2013 by Agency'!AL160</f>
        <v>0</v>
      </c>
      <c r="AM160" s="52">
        <f>'FY 2013 by Agency'!AM160</f>
        <v>480</v>
      </c>
      <c r="AN160" s="52">
        <f>'FY 2013 by Agency'!AN160</f>
        <v>392</v>
      </c>
      <c r="AO160" s="52">
        <f>'FY 2013 by Agency'!AO160</f>
        <v>392</v>
      </c>
      <c r="AP160" s="52">
        <f>'FY 2013 by Agency'!AP160</f>
        <v>20</v>
      </c>
      <c r="AQ160" s="52">
        <f>'FY 2013 by Agency'!AQ160</f>
        <v>9</v>
      </c>
      <c r="AR160" s="52">
        <f>'FY 2013 by Agency'!AR160</f>
        <v>29</v>
      </c>
      <c r="AS160" s="52">
        <f>'FY 2013 by Agency'!AS160</f>
        <v>395.33764000000002</v>
      </c>
      <c r="AT160" s="52" t="e">
        <f t="shared" si="163"/>
        <v>#REF!</v>
      </c>
      <c r="AU160" s="58" t="e">
        <f t="shared" si="164"/>
        <v>#REF!</v>
      </c>
      <c r="AV160" s="52">
        <f t="shared" si="165"/>
        <v>-54.961232180451134</v>
      </c>
      <c r="AW160" s="58">
        <f t="shared" si="166"/>
        <v>-0.1220550074094482</v>
      </c>
      <c r="AX160" s="282" t="s">
        <v>330</v>
      </c>
      <c r="AY160" s="65">
        <v>392</v>
      </c>
      <c r="AZ160" s="65">
        <f t="shared" si="167"/>
        <v>0</v>
      </c>
      <c r="BA160" s="65">
        <f t="shared" si="168"/>
        <v>-54.961232180451134</v>
      </c>
      <c r="BB160" s="65">
        <f t="shared" si="169"/>
        <v>395.33764000000002</v>
      </c>
      <c r="BC160" s="58">
        <f t="shared" si="170"/>
        <v>-0.12205500740944819</v>
      </c>
      <c r="BD160" s="291">
        <v>7.3860000000000001</v>
      </c>
      <c r="BE160" s="51">
        <f t="shared" si="188"/>
        <v>1.8841836734693879E-2</v>
      </c>
      <c r="BI160" s="219">
        <v>379</v>
      </c>
      <c r="BJ160" s="65">
        <f t="shared" si="179"/>
        <v>-13</v>
      </c>
      <c r="BK160" s="65">
        <f t="shared" si="180"/>
        <v>408</v>
      </c>
      <c r="BL160" s="568">
        <f>'FY 2013 by Agency'!AS160*Inflator!$E$13</f>
        <v>409.93509329264583</v>
      </c>
      <c r="BM160" s="52">
        <f t="shared" si="181"/>
        <v>-40.363778887805324</v>
      </c>
      <c r="BN160" s="51">
        <f t="shared" si="182"/>
        <v>-8.9637752571652213E-2</v>
      </c>
      <c r="BO160" s="52">
        <f>'FY 2013 by Agency'!AX160*Inflator!$E$13</f>
        <v>392.99420201403728</v>
      </c>
      <c r="BP160" s="52">
        <f t="shared" si="171"/>
        <v>-57.304670166413871</v>
      </c>
      <c r="BQ160" s="58">
        <f t="shared" si="172"/>
        <v>-0.12725919096561672</v>
      </c>
      <c r="BR160" s="52">
        <f>'FY 2013 by Agency'!BE160*Inflator!$E$14</f>
        <v>378.45744998507018</v>
      </c>
      <c r="BS160" s="52">
        <f t="shared" si="173"/>
        <v>-14.536752028967101</v>
      </c>
      <c r="BT160" s="58">
        <f t="shared" si="174"/>
        <v>-3.6989736628348181E-2</v>
      </c>
      <c r="BU160" s="52">
        <f>'FY 2013 by Agency'!BL160*Inflator!$E$14</f>
        <v>400.77933711555693</v>
      </c>
      <c r="BV160" s="52">
        <f t="shared" si="183"/>
        <v>-9.1557561770889038</v>
      </c>
      <c r="BW160" s="487">
        <v>394</v>
      </c>
      <c r="BX160" s="39">
        <f>'FY 2013 by Agency'!BW199*Inflator!E15</f>
        <v>5000</v>
      </c>
      <c r="BY160" s="595">
        <v>394</v>
      </c>
      <c r="BZ160" s="39">
        <f t="shared" si="148"/>
        <v>15.542550014929816</v>
      </c>
      <c r="CA160" s="51">
        <f t="shared" si="149"/>
        <v>4.1068157108660318E-2</v>
      </c>
      <c r="CC160" s="39"/>
    </row>
    <row r="161" spans="1:81" ht="18" customHeight="1">
      <c r="A161" s="63" t="s">
        <v>191</v>
      </c>
      <c r="B161" s="330" t="s">
        <v>78</v>
      </c>
      <c r="C161" s="330" t="s">
        <v>78</v>
      </c>
      <c r="D161" s="330" t="s">
        <v>78</v>
      </c>
      <c r="E161" s="330" t="s">
        <v>78</v>
      </c>
      <c r="F161" s="330" t="s">
        <v>78</v>
      </c>
      <c r="G161" s="330" t="s">
        <v>78</v>
      </c>
      <c r="H161" s="330" t="s">
        <v>78</v>
      </c>
      <c r="I161" s="330" t="s">
        <v>78</v>
      </c>
      <c r="J161" s="330" t="s">
        <v>78</v>
      </c>
      <c r="K161" s="330" t="s">
        <v>78</v>
      </c>
      <c r="L161" s="10">
        <f>'FY 2013 by Agency'!L161*Inflator!$E$6</f>
        <v>47507.770265358049</v>
      </c>
      <c r="M161" s="325" t="s">
        <v>78</v>
      </c>
      <c r="N161" s="325" t="s">
        <v>78</v>
      </c>
      <c r="O161" s="10">
        <f>'FY 2013 by Agency'!O161*Inflator!$E$7</f>
        <v>60631.754311862016</v>
      </c>
      <c r="P161" s="52">
        <f t="shared" si="175"/>
        <v>13123.984046503967</v>
      </c>
      <c r="Q161" s="60" t="s">
        <v>78</v>
      </c>
      <c r="R161" s="52">
        <f>'FY 2013 by Agency'!R161*Inflator!$E$8</f>
        <v>78614.217922606913</v>
      </c>
      <c r="S161" s="69">
        <f t="shared" si="158"/>
        <v>17982.463610744897</v>
      </c>
      <c r="T161" s="58">
        <f t="shared" si="185"/>
        <v>0.29658491354631317</v>
      </c>
      <c r="U161" s="52">
        <f>'FY 2013 by Agency'!U161*Inflator!$E$9</f>
        <v>83300.572944297077</v>
      </c>
      <c r="V161" s="52">
        <f t="shared" si="176"/>
        <v>4686.355021690164</v>
      </c>
      <c r="W161" s="58">
        <f t="shared" si="177"/>
        <v>5.9612054225403922E-2</v>
      </c>
      <c r="X161" s="52">
        <f>'FY 2013 by Agency'!X161*Inflator!$E$10</f>
        <v>91141.719275960641</v>
      </c>
      <c r="Y161" s="39">
        <f t="shared" si="178"/>
        <v>7841.1463316635636</v>
      </c>
      <c r="Z161" s="58">
        <f t="shared" si="186"/>
        <v>9.4130761104211397E-2</v>
      </c>
      <c r="AA161" s="52">
        <f>'FY 2013 by Agency'!AA161*Inflator!$E$11</f>
        <v>87838.137623446979</v>
      </c>
      <c r="AB161" s="39">
        <f t="shared" si="159"/>
        <v>-3303.5816525136615</v>
      </c>
      <c r="AC161" s="58">
        <f t="shared" si="160"/>
        <v>-3.6246646198444137E-2</v>
      </c>
      <c r="AD161" s="52" t="e">
        <f>'FY 2013 by Agency'!AD161*Inflator!#REF!</f>
        <v>#REF!</v>
      </c>
      <c r="AE161" s="52">
        <f>'FY 2013 by Agency'!AE161*Inflator!$B$8</f>
        <v>0</v>
      </c>
      <c r="AF161" s="52">
        <f>'FY 2013 by Agency'!AF161*Inflator!$E$12</f>
        <v>103277.05764411029</v>
      </c>
      <c r="AG161" s="52">
        <f t="shared" si="161"/>
        <v>15438.92002066331</v>
      </c>
      <c r="AH161" s="58">
        <f t="shared" si="162"/>
        <v>0.17576556651107933</v>
      </c>
      <c r="AI161" s="52">
        <f>'FY 2013 by Agency'!AI161*Inflator!$B$8</f>
        <v>0</v>
      </c>
      <c r="AJ161" s="52">
        <f>'FY 2013 by Agency'!AJ161*Inflator!$B$8</f>
        <v>0</v>
      </c>
      <c r="AK161" s="52">
        <f>'FY 2013 by Agency'!AK161</f>
        <v>97865</v>
      </c>
      <c r="AL161" s="52">
        <f>'FY 2013 by Agency'!AL161</f>
        <v>0</v>
      </c>
      <c r="AM161" s="52">
        <f>'FY 2013 by Agency'!AM161</f>
        <v>97865</v>
      </c>
      <c r="AN161" s="52">
        <f>'FY 2013 by Agency'!AN161</f>
        <v>90553</v>
      </c>
      <c r="AO161" s="52">
        <f>'FY 2013 by Agency'!AO161</f>
        <v>90553</v>
      </c>
      <c r="AP161" s="52">
        <f>'FY 2013 by Agency'!AP161</f>
        <v>2402</v>
      </c>
      <c r="AQ161" s="52">
        <f>'FY 2013 by Agency'!AQ161</f>
        <v>460</v>
      </c>
      <c r="AR161" s="52">
        <f>'FY 2013 by Agency'!AR161</f>
        <v>2862</v>
      </c>
      <c r="AS161" s="52">
        <f>'FY 2013 by Agency'!AS161</f>
        <v>99926.359840000005</v>
      </c>
      <c r="AT161" s="52" t="e">
        <f t="shared" si="163"/>
        <v>#REF!</v>
      </c>
      <c r="AU161" s="58" t="e">
        <f t="shared" si="164"/>
        <v>#REF!</v>
      </c>
      <c r="AV161" s="52">
        <f t="shared" si="165"/>
        <v>-3350.6978041102848</v>
      </c>
      <c r="AW161" s="58">
        <f t="shared" si="166"/>
        <v>-3.2443776774283124E-2</v>
      </c>
      <c r="AX161" s="279" t="s">
        <v>331</v>
      </c>
      <c r="AY161" s="65">
        <v>90553</v>
      </c>
      <c r="AZ161" s="65">
        <f t="shared" si="167"/>
        <v>0</v>
      </c>
      <c r="BA161" s="65">
        <f t="shared" si="168"/>
        <v>-3350.6978041102848</v>
      </c>
      <c r="BB161" s="65">
        <f t="shared" si="169"/>
        <v>99926.359840000005</v>
      </c>
      <c r="BC161" s="58">
        <f t="shared" si="170"/>
        <v>-3.2443776774283117E-2</v>
      </c>
      <c r="BD161" s="291">
        <v>4622.8180000000002</v>
      </c>
      <c r="BE161" s="51">
        <f t="shared" si="188"/>
        <v>5.1050964628449637E-2</v>
      </c>
      <c r="BI161" s="219">
        <v>90311</v>
      </c>
      <c r="BJ161" s="65">
        <f t="shared" si="179"/>
        <v>-242</v>
      </c>
      <c r="BK161" s="65">
        <f t="shared" si="180"/>
        <v>93173</v>
      </c>
      <c r="BL161" s="568">
        <f>'FY 2013 by Agency'!AS161*Inflator!$E$13</f>
        <v>103616.04233638087</v>
      </c>
      <c r="BM161" s="52">
        <f t="shared" si="181"/>
        <v>338.98469227057649</v>
      </c>
      <c r="BN161" s="51">
        <f t="shared" si="182"/>
        <v>3.2822845654521624E-3</v>
      </c>
      <c r="BO161" s="52">
        <f>'FY 2013 by Agency'!AX161*Inflator!$E$13</f>
        <v>102355.80653036316</v>
      </c>
      <c r="BP161" s="52">
        <f t="shared" si="171"/>
        <v>-921.25111374713015</v>
      </c>
      <c r="BQ161" s="58">
        <f t="shared" si="172"/>
        <v>-8.9201913257611811E-3</v>
      </c>
      <c r="BR161" s="52">
        <f>'FY 2013 by Agency'!BE161*Inflator!$E$14</f>
        <v>108463.06419826814</v>
      </c>
      <c r="BS161" s="52">
        <f t="shared" si="173"/>
        <v>6107.2576679049816</v>
      </c>
      <c r="BT161" s="58">
        <f t="shared" si="174"/>
        <v>5.9666939032846221E-2</v>
      </c>
      <c r="BU161" s="52">
        <f>'FY 2013 by Agency'!BL161*Inflator!$E$14</f>
        <v>110836.28665273216</v>
      </c>
      <c r="BV161" s="52">
        <f t="shared" si="183"/>
        <v>7220.2443163512944</v>
      </c>
      <c r="BW161" s="487">
        <v>106384</v>
      </c>
      <c r="BX161" s="39">
        <f>'FY 2013 by Agency'!BW161*Inflator!E15</f>
        <v>108969</v>
      </c>
      <c r="BY161" s="595">
        <v>106384</v>
      </c>
      <c r="BZ161" s="39">
        <f t="shared" si="148"/>
        <v>-2079.0641982681409</v>
      </c>
      <c r="CA161" s="51">
        <f t="shared" si="149"/>
        <v>-1.9168407361861511E-2</v>
      </c>
      <c r="CC161" s="39"/>
    </row>
    <row r="162" spans="1:81" ht="18" customHeight="1">
      <c r="A162" s="63" t="s">
        <v>192</v>
      </c>
      <c r="B162" s="330" t="s">
        <v>78</v>
      </c>
      <c r="C162" s="330" t="s">
        <v>78</v>
      </c>
      <c r="D162" s="330" t="s">
        <v>78</v>
      </c>
      <c r="E162" s="330" t="s">
        <v>78</v>
      </c>
      <c r="F162" s="330" t="s">
        <v>78</v>
      </c>
      <c r="G162" s="330" t="s">
        <v>78</v>
      </c>
      <c r="H162" s="330" t="s">
        <v>78</v>
      </c>
      <c r="I162" s="330" t="s">
        <v>78</v>
      </c>
      <c r="J162" s="330" t="s">
        <v>78</v>
      </c>
      <c r="K162" s="330" t="s">
        <v>78</v>
      </c>
      <c r="L162" s="10">
        <f>'FY 2013 by Agency'!L162*Inflator!$E$6</f>
        <v>29283.818247909847</v>
      </c>
      <c r="M162" s="325" t="s">
        <v>78</v>
      </c>
      <c r="N162" s="325" t="s">
        <v>78</v>
      </c>
      <c r="O162" s="10">
        <f>'FY 2013 by Agency'!O162*Inflator!$E$7</f>
        <v>25014.351284758883</v>
      </c>
      <c r="P162" s="52">
        <f t="shared" si="175"/>
        <v>-4269.4669631509641</v>
      </c>
      <c r="Q162" s="60" t="s">
        <v>78</v>
      </c>
      <c r="R162" s="52">
        <f>'FY 2013 by Agency'!R162*Inflator!$E$8</f>
        <v>83374.416836388322</v>
      </c>
      <c r="S162" s="69">
        <f t="shared" si="158"/>
        <v>58360.065551629436</v>
      </c>
      <c r="T162" s="60" t="s">
        <v>78</v>
      </c>
      <c r="U162" s="52">
        <f>'FY 2013 by Agency'!U162*Inflator!$E$9</f>
        <v>93576.818965517232</v>
      </c>
      <c r="V162" s="52">
        <f t="shared" si="176"/>
        <v>10202.40212912891</v>
      </c>
      <c r="W162" s="60" t="s">
        <v>78</v>
      </c>
      <c r="X162" s="52">
        <f>'FY 2013 by Agency'!X162*Inflator!$E$10</f>
        <v>92811.044776119408</v>
      </c>
      <c r="Y162" s="39">
        <f t="shared" si="178"/>
        <v>-765.77418939782365</v>
      </c>
      <c r="Z162" s="61" t="s">
        <v>127</v>
      </c>
      <c r="AA162" s="52">
        <f>'FY 2013 by Agency'!AA162*Inflator!$E$11</f>
        <v>102698.83975788469</v>
      </c>
      <c r="AB162" s="39">
        <f t="shared" si="159"/>
        <v>9887.7949817652843</v>
      </c>
      <c r="AC162" s="58">
        <f t="shared" si="160"/>
        <v>0.10653683519689724</v>
      </c>
      <c r="AD162" s="52" t="e">
        <f>'FY 2013 by Agency'!AD162*Inflator!#REF!</f>
        <v>#REF!</v>
      </c>
      <c r="AE162" s="52">
        <f>'FY 2013 by Agency'!AE162*Inflator!$B$8</f>
        <v>0</v>
      </c>
      <c r="AF162" s="52">
        <f>'FY 2013 by Agency'!AF162*Inflator!$E$12</f>
        <v>69090.537593984976</v>
      </c>
      <c r="AG162" s="52">
        <f t="shared" si="161"/>
        <v>-33608.302163899716</v>
      </c>
      <c r="AH162" s="58">
        <f t="shared" si="162"/>
        <v>-0.32725104045120862</v>
      </c>
      <c r="AI162" s="52">
        <f>'FY 2013 by Agency'!AI162*Inflator!$B$8</f>
        <v>0</v>
      </c>
      <c r="AJ162" s="52">
        <f>'FY 2013 by Agency'!AJ162*Inflator!$B$8</f>
        <v>0</v>
      </c>
      <c r="AK162" s="52">
        <f>'FY 2013 by Agency'!AK162</f>
        <v>64937</v>
      </c>
      <c r="AL162" s="52">
        <f>'FY 2013 by Agency'!AL162</f>
        <v>100</v>
      </c>
      <c r="AM162" s="52">
        <f>'FY 2013 by Agency'!AM162</f>
        <v>65037</v>
      </c>
      <c r="AN162" s="52">
        <f>'FY 2013 by Agency'!AN162</f>
        <v>56715</v>
      </c>
      <c r="AO162" s="52">
        <f>'FY 2013 by Agency'!AO162</f>
        <v>62915</v>
      </c>
      <c r="AP162" s="52">
        <f>'FY 2013 by Agency'!AP162</f>
        <v>0</v>
      </c>
      <c r="AQ162" s="52">
        <f>'FY 2013 by Agency'!AQ162</f>
        <v>179</v>
      </c>
      <c r="AR162" s="52">
        <f>'FY 2013 by Agency'!AR162</f>
        <v>179</v>
      </c>
      <c r="AS162" s="52">
        <f>'FY 2013 by Agency'!AS162</f>
        <v>58890.613149999997</v>
      </c>
      <c r="AT162" s="52" t="e">
        <f t="shared" si="163"/>
        <v>#REF!</v>
      </c>
      <c r="AU162" s="58" t="e">
        <f t="shared" si="164"/>
        <v>#REF!</v>
      </c>
      <c r="AV162" s="52">
        <f t="shared" si="165"/>
        <v>-10199.924443984979</v>
      </c>
      <c r="AW162" s="58">
        <f t="shared" si="166"/>
        <v>-0.14763127917639746</v>
      </c>
      <c r="AX162" s="279" t="s">
        <v>332</v>
      </c>
      <c r="AY162" s="65">
        <v>62913</v>
      </c>
      <c r="AZ162" s="65">
        <f t="shared" si="167"/>
        <v>-2</v>
      </c>
      <c r="BA162" s="65">
        <f t="shared" si="168"/>
        <v>-10201.924443984979</v>
      </c>
      <c r="BB162" s="65">
        <f t="shared" si="169"/>
        <v>58888.613149999997</v>
      </c>
      <c r="BC162" s="58">
        <f t="shared" si="170"/>
        <v>-0.1476602267004673</v>
      </c>
      <c r="BD162" s="291">
        <v>3597.6959999999999</v>
      </c>
      <c r="BE162" s="51">
        <f t="shared" si="188"/>
        <v>5.7185255829478802E-2</v>
      </c>
      <c r="BF162" s="50">
        <v>3195</v>
      </c>
      <c r="BI162" s="219">
        <v>59544</v>
      </c>
      <c r="BJ162" s="65">
        <f t="shared" si="179"/>
        <v>-3369</v>
      </c>
      <c r="BK162" s="65">
        <f t="shared" si="180"/>
        <v>59723</v>
      </c>
      <c r="BL162" s="568">
        <f>'FY 2013 by Agency'!AS162*Inflator!$E$13</f>
        <v>61065.091084436994</v>
      </c>
      <c r="BM162" s="52">
        <f t="shared" si="181"/>
        <v>-8025.4465095479827</v>
      </c>
      <c r="BN162" s="51">
        <f t="shared" si="182"/>
        <v>-0.11615840300317301</v>
      </c>
      <c r="BO162" s="52">
        <f>'FY 2013 by Agency'!AX162*Inflator!$E$13</f>
        <v>61742.603600854454</v>
      </c>
      <c r="BP162" s="52">
        <f t="shared" si="171"/>
        <v>-7347.9339931305221</v>
      </c>
      <c r="BQ162" s="58">
        <f t="shared" si="172"/>
        <v>-0.10635224806486718</v>
      </c>
      <c r="BR162" s="52">
        <f>'FY 2013 by Agency'!BE162*Inflator!$E$14</f>
        <v>61125.444013138258</v>
      </c>
      <c r="BS162" s="52">
        <f t="shared" si="173"/>
        <v>-617.15958771619626</v>
      </c>
      <c r="BT162" s="58">
        <f t="shared" si="174"/>
        <v>-9.9956845309914239E-3</v>
      </c>
      <c r="BU162" s="52">
        <f>'FY 2013 by Agency'!BL162*Inflator!$E$14</f>
        <v>61125.444013138258</v>
      </c>
      <c r="BV162" s="52">
        <f t="shared" si="183"/>
        <v>60.352928701264318</v>
      </c>
      <c r="BW162" s="39">
        <v>61276</v>
      </c>
      <c r="BX162" s="39">
        <f>'FY 2013 by Agency'!BW162*Inflator!E15</f>
        <v>67680</v>
      </c>
      <c r="BY162" s="534">
        <v>61276</v>
      </c>
      <c r="BZ162" s="39">
        <f t="shared" si="148"/>
        <v>150.55598686174199</v>
      </c>
      <c r="CA162" s="51">
        <f t="shared" si="149"/>
        <v>2.4630657378845637E-3</v>
      </c>
      <c r="CC162" s="39"/>
    </row>
    <row r="163" spans="1:81" s="54" customFormat="1" ht="18" customHeight="1" thickBot="1">
      <c r="A163" s="54" t="s">
        <v>194</v>
      </c>
      <c r="B163" s="329" t="s">
        <v>78</v>
      </c>
      <c r="C163" s="329" t="s">
        <v>78</v>
      </c>
      <c r="D163" s="329" t="s">
        <v>78</v>
      </c>
      <c r="E163" s="329" t="s">
        <v>78</v>
      </c>
      <c r="F163" s="329" t="s">
        <v>78</v>
      </c>
      <c r="G163" s="329" t="s">
        <v>78</v>
      </c>
      <c r="H163" s="329" t="s">
        <v>78</v>
      </c>
      <c r="I163" s="329" t="s">
        <v>78</v>
      </c>
      <c r="J163" s="329" t="s">
        <v>78</v>
      </c>
      <c r="K163" s="329" t="s">
        <v>78</v>
      </c>
      <c r="L163" s="350">
        <f>'FY 2013 by Agency'!L163*Inflator!$E$6</f>
        <v>534234.52344601962</v>
      </c>
      <c r="M163" s="394" t="s">
        <v>78</v>
      </c>
      <c r="N163" s="394" t="s">
        <v>78</v>
      </c>
      <c r="O163" s="350"/>
      <c r="P163" s="75"/>
      <c r="Q163" s="76"/>
      <c r="R163" s="75"/>
      <c r="S163" s="75"/>
      <c r="T163" s="76"/>
      <c r="U163" s="75">
        <f>'FY 2013 by Agency'!U163*Inflator!$E$9</f>
        <v>616774.17970822274</v>
      </c>
      <c r="V163" s="75"/>
      <c r="W163" s="76"/>
      <c r="X163" s="75">
        <f>'FY 2013 by Agency'!X163*Inflator!$E$10</f>
        <v>618965.82470625604</v>
      </c>
      <c r="Y163" s="102">
        <f t="shared" si="178"/>
        <v>2191.6449980332982</v>
      </c>
      <c r="Z163" s="384" t="s">
        <v>127</v>
      </c>
      <c r="AA163" s="75">
        <f>'FY 2013 by Agency'!AA163*Inflator!$E$11</f>
        <v>502456.92322395678</v>
      </c>
      <c r="AB163" s="102">
        <f t="shared" si="159"/>
        <v>-116508.90148229926</v>
      </c>
      <c r="AC163" s="77"/>
      <c r="AD163" s="75" t="e">
        <f>'FY 2013 by Agency'!AD163*Inflator!#REF!</f>
        <v>#REF!</v>
      </c>
      <c r="AE163" s="75">
        <f>'FY 2013 by Agency'!AE163*Inflator!$B$8</f>
        <v>0</v>
      </c>
      <c r="AF163" s="75">
        <f>'FY 2013 by Agency'!AF163*Inflator!$E$12</f>
        <v>564336.26315789483</v>
      </c>
      <c r="AG163" s="75">
        <f t="shared" si="161"/>
        <v>61879.339933938056</v>
      </c>
      <c r="AH163" s="77">
        <f t="shared" si="162"/>
        <v>0.12315352236943303</v>
      </c>
      <c r="AI163" s="75">
        <f>'FY 2013 by Agency'!AI163*Inflator!$B$8</f>
        <v>0</v>
      </c>
      <c r="AJ163" s="75">
        <f>'FY 2013 by Agency'!AJ163*Inflator!$B$8</f>
        <v>0</v>
      </c>
      <c r="AK163" s="75">
        <f>'FY 2013 by Agency'!AK163</f>
        <v>700069</v>
      </c>
      <c r="AL163" s="75">
        <f>'FY 2013 by Agency'!AL163</f>
        <v>0</v>
      </c>
      <c r="AM163" s="75">
        <f>'FY 2013 by Agency'!AM163</f>
        <v>700069</v>
      </c>
      <c r="AN163" s="75">
        <f>'FY 2013 by Agency'!AN163</f>
        <v>509039</v>
      </c>
      <c r="AO163" s="75">
        <f>'FY 2013 by Agency'!AO163</f>
        <v>580186</v>
      </c>
      <c r="AP163" s="75">
        <f>'FY 2013 by Agency'!AP163</f>
        <v>0</v>
      </c>
      <c r="AQ163" s="75">
        <f>'FY 2013 by Agency'!AQ163</f>
        <v>10</v>
      </c>
      <c r="AR163" s="75">
        <f>'FY 2013 by Agency'!AR163</f>
        <v>10</v>
      </c>
      <c r="AS163" s="75">
        <f>'FY 2013 by Agency'!AS163</f>
        <v>608886.04353999998</v>
      </c>
      <c r="AT163" s="75" t="e">
        <f t="shared" si="163"/>
        <v>#REF!</v>
      </c>
      <c r="AU163" s="77" t="e">
        <f t="shared" si="164"/>
        <v>#REF!</v>
      </c>
      <c r="AV163" s="75">
        <f t="shared" si="165"/>
        <v>44549.780382105149</v>
      </c>
      <c r="AW163" s="77">
        <f t="shared" si="166"/>
        <v>7.8941906254286959E-2</v>
      </c>
      <c r="AX163" s="385" t="s">
        <v>333</v>
      </c>
      <c r="AY163" s="94">
        <v>559510</v>
      </c>
      <c r="AZ163" s="94">
        <f t="shared" si="167"/>
        <v>-20676</v>
      </c>
      <c r="BA163" s="94">
        <f t="shared" si="168"/>
        <v>23873.780382105149</v>
      </c>
      <c r="BB163" s="94">
        <f t="shared" si="169"/>
        <v>588210.04353999998</v>
      </c>
      <c r="BC163" s="77">
        <f t="shared" si="170"/>
        <v>4.2304175614221506E-2</v>
      </c>
      <c r="BD163" s="386">
        <v>1425.357</v>
      </c>
      <c r="BE163" s="55">
        <f t="shared" si="188"/>
        <v>2.5475094278922627E-3</v>
      </c>
      <c r="BF163" s="54">
        <v>7925</v>
      </c>
      <c r="BI163" s="387">
        <v>591800</v>
      </c>
      <c r="BJ163" s="94">
        <f t="shared" si="179"/>
        <v>32290</v>
      </c>
      <c r="BK163" s="94">
        <f t="shared" si="180"/>
        <v>591810</v>
      </c>
      <c r="BL163" s="570">
        <f>'FY 2013 by Agency'!AS163*Inflator!$E$13</f>
        <v>631368.56147357961</v>
      </c>
      <c r="BM163" s="52">
        <f t="shared" si="181"/>
        <v>67032.298315684777</v>
      </c>
      <c r="BN163" s="309">
        <f t="shared" si="182"/>
        <v>0.11878077432165635</v>
      </c>
      <c r="BO163" s="69">
        <f>'FY 2013 by Agency'!AX163*Inflator!$E$13</f>
        <v>724703.08391821804</v>
      </c>
      <c r="BP163" s="69">
        <f t="shared" si="171"/>
        <v>160366.8207603232</v>
      </c>
      <c r="BQ163" s="72">
        <f t="shared" si="172"/>
        <v>0.28416890997390043</v>
      </c>
      <c r="BR163" s="69">
        <f>'FY 2013 by Agency'!BE163*Inflator!$E$14</f>
        <v>716999.30725589732</v>
      </c>
      <c r="BS163" s="69">
        <f t="shared" si="173"/>
        <v>-7703.7766623207135</v>
      </c>
      <c r="BT163" s="72">
        <f t="shared" si="174"/>
        <v>-1.0630252351996444E-2</v>
      </c>
      <c r="BU163" s="69">
        <f>'FY 2013 by Agency'!BL163*Inflator!$E$14</f>
        <v>716999.30725589732</v>
      </c>
      <c r="BV163" s="69">
        <f>BU163-BL163</f>
        <v>85630.74578231771</v>
      </c>
      <c r="BW163" s="39">
        <v>750612</v>
      </c>
      <c r="BX163" s="39">
        <f>'FY 2013 by Agency'!BW163*Inflator!E15</f>
        <v>751775</v>
      </c>
      <c r="BY163" s="534">
        <v>756415</v>
      </c>
      <c r="BZ163" s="39">
        <f t="shared" si="148"/>
        <v>33612.692744102678</v>
      </c>
      <c r="CA163" s="51">
        <f t="shared" si="149"/>
        <v>4.6879672551909869E-2</v>
      </c>
      <c r="CC163" s="39"/>
    </row>
    <row r="164" spans="1:81" s="63" customFormat="1" ht="18" customHeight="1">
      <c r="A164" s="63" t="s">
        <v>80</v>
      </c>
      <c r="B164" s="322" t="e">
        <f>'FY 2013 by Agency'!B165*Inflator!#REF!</f>
        <v>#VALUE!</v>
      </c>
      <c r="C164" s="322" t="e">
        <f>'FY 2013 by Agency'!C165*Inflator!#REF!</f>
        <v>#VALUE!</v>
      </c>
      <c r="D164" s="322" t="e">
        <f t="shared" si="150"/>
        <v>#VALUE!</v>
      </c>
      <c r="E164" s="351" t="e">
        <f t="shared" si="151"/>
        <v>#VALUE!</v>
      </c>
      <c r="F164" s="10" t="e">
        <f>'FY 2013 by Agency'!F165*Inflator!#REF!</f>
        <v>#VALUE!</v>
      </c>
      <c r="G164" s="10" t="e">
        <f t="shared" si="152"/>
        <v>#VALUE!</v>
      </c>
      <c r="H164" s="14" t="e">
        <f t="shared" si="153"/>
        <v>#VALUE!</v>
      </c>
      <c r="I164" s="10" t="e">
        <f>'FY 2013 by Agency'!I165*Inflator!#REF!</f>
        <v>#VALUE!</v>
      </c>
      <c r="J164" s="10" t="e">
        <f t="shared" si="154"/>
        <v>#VALUE!</v>
      </c>
      <c r="K164" s="14" t="e">
        <f t="shared" si="155"/>
        <v>#VALUE!</v>
      </c>
      <c r="L164" s="10">
        <f>'FY 2013 by Agency'!L165*Inflator!$E$6</f>
        <v>54466.814976372225</v>
      </c>
      <c r="M164" s="325" t="s">
        <v>78</v>
      </c>
      <c r="N164" s="325" t="s">
        <v>78</v>
      </c>
      <c r="O164" s="10" t="e">
        <f>'FY 2013 by Agency'!O165*Inflator!#REF!</f>
        <v>#REF!</v>
      </c>
      <c r="P164" s="69" t="e">
        <f t="shared" si="175"/>
        <v>#REF!</v>
      </c>
      <c r="Q164" s="72" t="e">
        <f>P164/L164</f>
        <v>#REF!</v>
      </c>
      <c r="R164" s="52" t="e">
        <f>'FY 2013 by Agency'!R165*Inflator!#REF!</f>
        <v>#REF!</v>
      </c>
      <c r="S164" s="69" t="e">
        <f t="shared" si="158"/>
        <v>#REF!</v>
      </c>
      <c r="T164" s="70" t="s">
        <v>78</v>
      </c>
      <c r="U164" s="52">
        <f>'FY 2013 by Agency'!U165*Inflator!$E$9</f>
        <v>30337.515251989389</v>
      </c>
      <c r="V164" s="69" t="e">
        <f t="shared" si="176"/>
        <v>#REF!</v>
      </c>
      <c r="W164" s="70" t="s">
        <v>78</v>
      </c>
      <c r="X164" s="52">
        <f>'FY 2013 by Agency'!X165*Inflator!$E$10</f>
        <v>0</v>
      </c>
      <c r="Y164" s="39">
        <f t="shared" si="178"/>
        <v>-30337.515251989389</v>
      </c>
      <c r="Z164" s="72">
        <f>Y164/U164</f>
        <v>-1</v>
      </c>
      <c r="AA164" s="52">
        <f>'FY 2013 by Agency'!AA165*Inflator!$E$11</f>
        <v>0</v>
      </c>
      <c r="AB164" s="39">
        <f t="shared" si="159"/>
        <v>0</v>
      </c>
      <c r="AC164" s="58"/>
      <c r="AD164" s="52" t="e">
        <f>'FY 2013 by Agency'!AD165*Inflator!#REF!</f>
        <v>#REF!</v>
      </c>
      <c r="AE164" s="52">
        <f>'FY 2013 by Agency'!AE165*Inflator!$B$8</f>
        <v>0</v>
      </c>
      <c r="AF164" s="52">
        <f>'FY 2013 by Agency'!AF165*Inflator!$E$12</f>
        <v>0</v>
      </c>
      <c r="AG164" s="52">
        <f t="shared" si="161"/>
        <v>0</v>
      </c>
      <c r="AH164" s="58" t="e">
        <f t="shared" si="162"/>
        <v>#DIV/0!</v>
      </c>
      <c r="AI164" s="52">
        <f>'FY 2013 by Agency'!AI165*Inflator!$B$8</f>
        <v>0</v>
      </c>
      <c r="AJ164" s="52">
        <f>'FY 2013 by Agency'!AJ165*Inflator!$B$8</f>
        <v>0</v>
      </c>
      <c r="AK164" s="52">
        <f>'FY 2013 by Agency'!AK165</f>
        <v>0</v>
      </c>
      <c r="AL164" s="52">
        <f>'FY 2013 by Agency'!AL165</f>
        <v>0</v>
      </c>
      <c r="AM164" s="52">
        <f>'FY 2013 by Agency'!AM165</f>
        <v>0</v>
      </c>
      <c r="AN164" s="52">
        <f>'FY 2013 by Agency'!AN165</f>
        <v>0</v>
      </c>
      <c r="AO164" s="52">
        <f>'FY 2013 by Agency'!AO165</f>
        <v>0</v>
      </c>
      <c r="AP164" s="52">
        <f>'FY 2013 by Agency'!AP165</f>
        <v>0</v>
      </c>
      <c r="AQ164" s="52">
        <f>'FY 2013 by Agency'!AQ165</f>
        <v>0</v>
      </c>
      <c r="AR164" s="52">
        <f>'FY 2013 by Agency'!AR165</f>
        <v>0</v>
      </c>
      <c r="AS164" s="52">
        <f>'FY 2013 by Agency'!AS165</f>
        <v>0</v>
      </c>
      <c r="AT164" s="52" t="e">
        <f t="shared" si="163"/>
        <v>#REF!</v>
      </c>
      <c r="AU164" s="58" t="e">
        <f t="shared" si="164"/>
        <v>#REF!</v>
      </c>
      <c r="AV164" s="52">
        <f t="shared" si="165"/>
        <v>0</v>
      </c>
      <c r="AW164" s="58" t="e">
        <f t="shared" si="166"/>
        <v>#DIV/0!</v>
      </c>
      <c r="AX164" s="72"/>
      <c r="AY164" s="72"/>
      <c r="AZ164" s="72"/>
      <c r="BA164" s="72"/>
      <c r="BB164" s="72"/>
      <c r="BC164" s="72"/>
      <c r="BD164" s="334"/>
      <c r="BE164" s="304"/>
      <c r="BI164" s="80"/>
      <c r="BJ164" s="65">
        <f t="shared" si="179"/>
        <v>0</v>
      </c>
      <c r="BK164" s="80"/>
      <c r="BL164" s="569">
        <f>'FY 2013 by Agency'!AS165*Inflator!$E$13</f>
        <v>0</v>
      </c>
      <c r="BM164" s="52">
        <f t="shared" si="181"/>
        <v>0</v>
      </c>
      <c r="BN164" s="309" t="e">
        <f t="shared" si="182"/>
        <v>#DIV/0!</v>
      </c>
      <c r="BO164" s="52">
        <f>'FY 2013 by Agency'!AX165*Inflator!$E$13</f>
        <v>0</v>
      </c>
      <c r="BP164" s="52">
        <f t="shared" si="171"/>
        <v>0</v>
      </c>
      <c r="BQ164" s="58" t="e">
        <f t="shared" si="172"/>
        <v>#DIV/0!</v>
      </c>
      <c r="BR164" s="52">
        <f>'FY 2013 by Agency'!BE165*Inflator!$E$14</f>
        <v>0</v>
      </c>
      <c r="BS164" s="52">
        <f t="shared" si="173"/>
        <v>0</v>
      </c>
      <c r="BT164" s="58" t="e">
        <f t="shared" si="174"/>
        <v>#DIV/0!</v>
      </c>
      <c r="BU164" s="52">
        <f>'FY 2013 by Agency'!BL165*Inflator!$E$14</f>
        <v>0</v>
      </c>
      <c r="BV164" s="52">
        <f t="shared" si="183"/>
        <v>0</v>
      </c>
      <c r="BW164" s="39"/>
      <c r="BX164" s="39">
        <f>'FY 2013 by Agency'!BW163*Inflator!E33</f>
        <v>0</v>
      </c>
      <c r="BY164" s="534"/>
      <c r="BZ164" s="39">
        <f t="shared" si="148"/>
        <v>0</v>
      </c>
      <c r="CA164" s="51" t="e">
        <f t="shared" si="149"/>
        <v>#DIV/0!</v>
      </c>
      <c r="CC164" s="39"/>
    </row>
    <row r="165" spans="1:81" s="63" customFormat="1" ht="18" customHeight="1" thickBot="1">
      <c r="A165" s="619" t="s">
        <v>419</v>
      </c>
      <c r="B165" s="322"/>
      <c r="C165" s="322"/>
      <c r="D165" s="322"/>
      <c r="E165" s="351"/>
      <c r="F165" s="10"/>
      <c r="G165" s="10"/>
      <c r="H165" s="14"/>
      <c r="I165" s="10"/>
      <c r="J165" s="10"/>
      <c r="K165" s="14"/>
      <c r="L165" s="10"/>
      <c r="M165" s="325"/>
      <c r="N165" s="325"/>
      <c r="O165" s="10"/>
      <c r="P165" s="69"/>
      <c r="Q165" s="72"/>
      <c r="R165" s="52"/>
      <c r="S165" s="69"/>
      <c r="T165" s="70"/>
      <c r="U165" s="52"/>
      <c r="V165" s="69"/>
      <c r="W165" s="70"/>
      <c r="X165" s="52"/>
      <c r="Y165" s="39"/>
      <c r="Z165" s="72"/>
      <c r="AA165" s="52"/>
      <c r="AB165" s="39"/>
      <c r="AC165" s="58"/>
      <c r="AD165" s="52"/>
      <c r="AE165" s="52"/>
      <c r="AF165" s="52"/>
      <c r="AG165" s="52"/>
      <c r="AH165" s="58"/>
      <c r="AI165" s="52"/>
      <c r="AJ165" s="52"/>
      <c r="AK165" s="52"/>
      <c r="AL165" s="52"/>
      <c r="AM165" s="52"/>
      <c r="AN165" s="52"/>
      <c r="AO165" s="52"/>
      <c r="AP165" s="52"/>
      <c r="AQ165" s="52"/>
      <c r="AR165" s="52"/>
      <c r="AS165" s="52"/>
      <c r="AT165" s="52"/>
      <c r="AU165" s="58"/>
      <c r="AV165" s="52"/>
      <c r="AW165" s="58"/>
      <c r="AX165" s="72"/>
      <c r="AY165" s="72"/>
      <c r="AZ165" s="72"/>
      <c r="BA165" s="72"/>
      <c r="BB165" s="72"/>
      <c r="BC165" s="72"/>
      <c r="BD165" s="334"/>
      <c r="BE165" s="304"/>
      <c r="BI165" s="80"/>
      <c r="BJ165" s="65"/>
      <c r="BK165" s="80"/>
      <c r="BL165" s="569"/>
      <c r="BM165" s="52"/>
      <c r="BN165" s="640"/>
      <c r="BO165" s="641"/>
      <c r="BP165" s="641"/>
      <c r="BQ165" s="642"/>
      <c r="BR165" s="641"/>
      <c r="BS165" s="641"/>
      <c r="BT165" s="642"/>
      <c r="BU165" s="641"/>
      <c r="BV165" s="641"/>
      <c r="BW165" s="102"/>
      <c r="BX165" s="39">
        <f>'FY 2013 by Agency'!BW165*Inflator!E$15</f>
        <v>0</v>
      </c>
      <c r="BY165" s="535"/>
      <c r="BZ165" s="39">
        <f t="shared" si="148"/>
        <v>0</v>
      </c>
      <c r="CA165" s="51" t="e">
        <f t="shared" si="149"/>
        <v>#DIV/0!</v>
      </c>
      <c r="CC165" s="39"/>
    </row>
    <row r="166" spans="1:81" s="335" customFormat="1" ht="18" customHeight="1">
      <c r="A166" s="335" t="s">
        <v>60</v>
      </c>
      <c r="B166" s="322">
        <f>'FY 2013 by Agency'!B166*Inflator!$E$2</f>
        <v>1071684.2185007976</v>
      </c>
      <c r="C166" s="322">
        <f>'FY 2013 by Agency'!C166*Inflator!$E$3</f>
        <v>1225865.2635239568</v>
      </c>
      <c r="D166" s="47">
        <f t="shared" si="150"/>
        <v>154181.04502315912</v>
      </c>
      <c r="E166" s="356">
        <f t="shared" si="151"/>
        <v>0.14386798122197444</v>
      </c>
      <c r="F166" s="10">
        <f>'FY 2013 by Agency'!F166*Inflator!$E$4</f>
        <v>1350305.9581271412</v>
      </c>
      <c r="G166" s="12">
        <f t="shared" si="152"/>
        <v>124440.69460318447</v>
      </c>
      <c r="H166" s="15">
        <f t="shared" si="153"/>
        <v>0.10151253837265824</v>
      </c>
      <c r="I166" s="10">
        <f>'FY 2013 by Agency'!I166*Inflator!$E$5</f>
        <v>1345479.105987356</v>
      </c>
      <c r="J166" s="12">
        <f t="shared" si="154"/>
        <v>-4826.8521397851873</v>
      </c>
      <c r="K166" s="15">
        <f t="shared" si="155"/>
        <v>-3.5746358895431193E-3</v>
      </c>
      <c r="L166" s="10">
        <f>'FY 2013 by Agency'!L166*Inflator!$E$6</f>
        <v>1348661.3827699018</v>
      </c>
      <c r="M166" s="10">
        <f t="shared" si="156"/>
        <v>3182.2767825457267</v>
      </c>
      <c r="N166" s="14">
        <f t="shared" si="157"/>
        <v>2.3651625420154474E-3</v>
      </c>
      <c r="O166" s="10">
        <f>'FY 2013 by Agency'!O166*Inflator!$E$7</f>
        <v>1415632.3956353394</v>
      </c>
      <c r="P166" s="336">
        <f>O166-L166</f>
        <v>66971.01286543766</v>
      </c>
      <c r="Q166" s="333">
        <f>P166/L166</f>
        <v>4.965739637913525E-2</v>
      </c>
      <c r="R166" s="52">
        <f>'FY 2013 by Agency'!R166*Inflator!$E$8</f>
        <v>1457412.119484046</v>
      </c>
      <c r="S166" s="336">
        <f t="shared" si="158"/>
        <v>41779.723848706577</v>
      </c>
      <c r="T166" s="333">
        <f>S166/O166</f>
        <v>2.9513116524827569E-2</v>
      </c>
      <c r="U166" s="52">
        <f>'FY 2013 by Agency'!U166*Inflator!$E$9</f>
        <v>1653695.9622015913</v>
      </c>
      <c r="V166" s="336" t="e">
        <f t="shared" ref="V166:AB166" si="189">SUM(V146:V164)</f>
        <v>#REF!</v>
      </c>
      <c r="W166" s="336">
        <f t="shared" si="189"/>
        <v>1.2580212787664569</v>
      </c>
      <c r="X166" s="52">
        <f>'FY 2013 by Agency'!X166*Inflator!$E$10</f>
        <v>1734046.1238488411</v>
      </c>
      <c r="Y166" s="336">
        <f t="shared" si="189"/>
        <v>80350.161647249741</v>
      </c>
      <c r="Z166" s="333">
        <f>Y166/U166</f>
        <v>4.858823114031089E-2</v>
      </c>
      <c r="AA166" s="52">
        <f>'FY 2013 by Agency'!AA166*Inflator!$E$11</f>
        <v>1564635.5673781461</v>
      </c>
      <c r="AB166" s="336">
        <f t="shared" si="189"/>
        <v>-169410.55647069495</v>
      </c>
      <c r="AC166" s="333">
        <f>AB166/X166</f>
        <v>-9.7696684154326849E-2</v>
      </c>
      <c r="AD166" s="12" t="e">
        <f>'FY 2013 by Agency'!AD166*Inflator!#REF!</f>
        <v>#REF!</v>
      </c>
      <c r="AE166" s="337">
        <f>SUM(AE146:AE164)</f>
        <v>0</v>
      </c>
      <c r="AF166" s="52">
        <f>'FY 2013 by Agency'!AF166*Inflator!$E$12</f>
        <v>1566069.2180451129</v>
      </c>
      <c r="AG166" s="336">
        <f t="shared" si="161"/>
        <v>1433.6506669668015</v>
      </c>
      <c r="AH166" s="333">
        <f t="shared" si="162"/>
        <v>9.1628408356404963E-4</v>
      </c>
      <c r="AI166" s="336">
        <f>SUM(AI146:AI164)</f>
        <v>0</v>
      </c>
      <c r="AJ166" s="338">
        <f>SUM(AJ146:AJ164)</f>
        <v>0</v>
      </c>
      <c r="AK166" s="338">
        <f t="shared" ref="AK166:AS166" si="190">SUM(AK146:AK164)</f>
        <v>1578032</v>
      </c>
      <c r="AL166" s="338">
        <f t="shared" si="190"/>
        <v>44836</v>
      </c>
      <c r="AM166" s="338">
        <f t="shared" si="190"/>
        <v>1622868</v>
      </c>
      <c r="AN166" s="338">
        <f t="shared" si="190"/>
        <v>1348335</v>
      </c>
      <c r="AO166" s="338">
        <f t="shared" si="190"/>
        <v>1449360</v>
      </c>
      <c r="AP166" s="338">
        <f t="shared" si="190"/>
        <v>7651</v>
      </c>
      <c r="AQ166" s="338">
        <f t="shared" si="190"/>
        <v>2995</v>
      </c>
      <c r="AR166" s="338">
        <f t="shared" si="190"/>
        <v>10646</v>
      </c>
      <c r="AS166" s="338">
        <f t="shared" si="190"/>
        <v>1466084.8808900001</v>
      </c>
      <c r="AT166" s="336" t="e">
        <f t="shared" si="163"/>
        <v>#REF!</v>
      </c>
      <c r="AU166" s="333" t="e">
        <f t="shared" si="164"/>
        <v>#REF!</v>
      </c>
      <c r="AV166" s="336">
        <f t="shared" si="165"/>
        <v>-99984.337155112764</v>
      </c>
      <c r="AW166" s="333">
        <f t="shared" si="166"/>
        <v>-6.38441366467319E-2</v>
      </c>
      <c r="AX166" s="333"/>
      <c r="AY166" s="338">
        <f t="shared" ref="AY166:BA166" si="191">SUM(AY146:AY163)</f>
        <v>1433444.59054</v>
      </c>
      <c r="AZ166" s="338">
        <f t="shared" si="191"/>
        <v>-15915.409460000001</v>
      </c>
      <c r="BA166" s="338">
        <f t="shared" si="191"/>
        <v>-115899.74661511293</v>
      </c>
      <c r="BB166" s="338">
        <f>SUM(BB146:BB163)</f>
        <v>1450169.4714299999</v>
      </c>
      <c r="BC166" s="333">
        <f t="shared" ref="BC166" si="192">(BB166-AF166)/AF166</f>
        <v>-7.4006784169979342E-2</v>
      </c>
      <c r="BD166" s="338">
        <f t="shared" ref="BD166" si="193">SUM(BD146:BD163)</f>
        <v>48224.718999999997</v>
      </c>
      <c r="BE166" s="339">
        <f>BD166/AY166</f>
        <v>3.36425414126632E-2</v>
      </c>
      <c r="BF166" s="339">
        <f>(BB166-X166)/X166</f>
        <v>-0.16370767104438741</v>
      </c>
      <c r="BI166" s="338">
        <f>SUM(BI146:BI164)</f>
        <v>1453130</v>
      </c>
      <c r="BJ166" s="338">
        <f>SUM(BJ146:BJ164)</f>
        <v>19685.409460000003</v>
      </c>
      <c r="BK166" s="338">
        <f>SUM(BK146:BK164)</f>
        <v>1463776</v>
      </c>
      <c r="BL166" s="575">
        <f>SUM(BL146:BL164)</f>
        <v>1520218.6222960697</v>
      </c>
      <c r="BM166" s="52">
        <f t="shared" si="181"/>
        <v>-45850.595749043161</v>
      </c>
      <c r="BN166" s="388">
        <f t="shared" si="182"/>
        <v>-2.9277502693193454E-2</v>
      </c>
      <c r="BO166" s="12">
        <f>'FY 2013 by Agency'!AX166*Inflator!$E$13</f>
        <v>1641746.2404638391</v>
      </c>
      <c r="BP166" s="12">
        <f t="shared" si="171"/>
        <v>75677.022418726236</v>
      </c>
      <c r="BQ166" s="36">
        <f t="shared" si="172"/>
        <v>4.8322910345681952E-2</v>
      </c>
      <c r="BR166" s="12">
        <f>SUM(BR146:BR164)</f>
        <v>1609728.6855777844</v>
      </c>
      <c r="BS166" s="12">
        <f t="shared" si="173"/>
        <v>-32017.554886054713</v>
      </c>
      <c r="BT166" s="36">
        <f t="shared" si="174"/>
        <v>-1.9502133823683286E-2</v>
      </c>
      <c r="BU166" s="12">
        <f>SUM(BU146:BU164)</f>
        <v>1626679.1149596898</v>
      </c>
      <c r="BV166" s="52">
        <f t="shared" si="183"/>
        <v>106460.49266362004</v>
      </c>
      <c r="BW166" s="30">
        <f>SUM(BW146:BW165)</f>
        <v>1646039</v>
      </c>
      <c r="BX166" s="12">
        <f>SUM(BX146:BX164)</f>
        <v>1722640</v>
      </c>
      <c r="BY166" s="30">
        <f>SUM(BY146:BY165)</f>
        <v>1643871</v>
      </c>
      <c r="BZ166" s="39">
        <f t="shared" si="148"/>
        <v>36310.314422215568</v>
      </c>
      <c r="CA166" s="51">
        <f t="shared" si="149"/>
        <v>2.2556791555952551E-2</v>
      </c>
      <c r="CC166" s="39"/>
    </row>
    <row r="167" spans="1:81" s="13" customFormat="1" ht="18" customHeight="1">
      <c r="A167" s="64" t="s">
        <v>455</v>
      </c>
      <c r="B167" s="322"/>
      <c r="C167" s="322"/>
      <c r="D167" s="322"/>
      <c r="E167" s="351"/>
      <c r="F167" s="10"/>
      <c r="G167" s="10"/>
      <c r="H167" s="14"/>
      <c r="I167" s="10"/>
      <c r="J167" s="10"/>
      <c r="K167" s="14"/>
      <c r="L167" s="10"/>
      <c r="M167" s="10"/>
      <c r="N167" s="14"/>
      <c r="O167" s="10"/>
      <c r="P167" s="12"/>
      <c r="Q167" s="36"/>
      <c r="R167" s="52"/>
      <c r="S167" s="12"/>
      <c r="T167" s="36"/>
      <c r="U167" s="52"/>
      <c r="V167" s="12"/>
      <c r="W167" s="12"/>
      <c r="X167" s="52"/>
      <c r="Y167" s="12"/>
      <c r="Z167" s="45"/>
      <c r="AA167" s="52"/>
      <c r="AB167" s="12"/>
      <c r="AC167" s="36"/>
      <c r="AD167" s="52" t="e">
        <f>'FY 2013 by Agency'!AD167*Inflator!#REF!</f>
        <v>#REF!</v>
      </c>
      <c r="AE167" s="178"/>
      <c r="AF167" s="52"/>
      <c r="AG167" s="52"/>
      <c r="AH167" s="58"/>
      <c r="AI167" s="12"/>
      <c r="AJ167" s="28"/>
      <c r="AK167" s="28"/>
      <c r="AL167" s="28"/>
      <c r="AM167" s="28"/>
      <c r="AN167" s="28"/>
      <c r="AO167" s="28"/>
      <c r="AP167" s="28"/>
      <c r="AQ167" s="28"/>
      <c r="AR167" s="28"/>
      <c r="AS167" s="28"/>
      <c r="AT167" s="12"/>
      <c r="AU167" s="36"/>
      <c r="AV167" s="52"/>
      <c r="AW167" s="36"/>
      <c r="AX167" s="58"/>
      <c r="AY167" s="65">
        <f>+AS166+AZ166</f>
        <v>1450169.4714300002</v>
      </c>
      <c r="AZ167" s="58"/>
      <c r="BA167" s="58"/>
      <c r="BB167" s="58"/>
      <c r="BC167" s="58"/>
      <c r="BD167" s="289"/>
      <c r="BE167" s="280"/>
      <c r="BI167" s="28"/>
      <c r="BK167" s="319"/>
      <c r="BL167" s="567"/>
      <c r="BM167" s="256"/>
      <c r="BN167" s="287"/>
      <c r="BP167" s="52"/>
      <c r="BQ167" s="50"/>
      <c r="BR167" s="52"/>
      <c r="BS167" s="52"/>
      <c r="BT167" s="50"/>
      <c r="BU167" s="256"/>
      <c r="BV167" s="256"/>
      <c r="BW167" s="39">
        <f>+BW166+920</f>
        <v>1646959</v>
      </c>
      <c r="BX167" s="534">
        <f>'FY 2013 by Agency'!BW167*Inflator!E$15</f>
        <v>1646959</v>
      </c>
      <c r="BY167" s="534">
        <f>BY166-920</f>
        <v>1642951</v>
      </c>
      <c r="BZ167" s="39">
        <f t="shared" si="148"/>
        <v>1646959</v>
      </c>
      <c r="CA167" s="51" t="e">
        <f t="shared" si="149"/>
        <v>#DIV/0!</v>
      </c>
      <c r="CC167" s="39"/>
    </row>
    <row r="168" spans="1:81" s="13" customFormat="1" ht="18" customHeight="1">
      <c r="A168" s="64" t="s">
        <v>456</v>
      </c>
      <c r="B168" s="322"/>
      <c r="C168" s="322"/>
      <c r="D168" s="322"/>
      <c r="E168" s="351"/>
      <c r="F168" s="10"/>
      <c r="G168" s="10"/>
      <c r="H168" s="14"/>
      <c r="I168" s="10"/>
      <c r="J168" s="10"/>
      <c r="K168" s="14"/>
      <c r="L168" s="10"/>
      <c r="M168" s="10"/>
      <c r="N168" s="14"/>
      <c r="O168" s="10"/>
      <c r="P168" s="12"/>
      <c r="Q168" s="36"/>
      <c r="R168" s="52"/>
      <c r="S168" s="12"/>
      <c r="T168" s="36"/>
      <c r="U168" s="52"/>
      <c r="V168" s="12"/>
      <c r="W168" s="12"/>
      <c r="X168" s="39">
        <f>X166+(X56+X57+X58+X71)</f>
        <v>1985472.2261035251</v>
      </c>
      <c r="Y168" s="12"/>
      <c r="Z168" s="45"/>
      <c r="AA168" s="52"/>
      <c r="AB168" s="12"/>
      <c r="AC168" s="36"/>
      <c r="AD168" s="52" t="e">
        <f>'FY 2013 by Agency'!AD168*Inflator!#REF!</f>
        <v>#REF!</v>
      </c>
      <c r="AE168" s="178"/>
      <c r="AF168" s="52"/>
      <c r="AG168" s="52"/>
      <c r="AH168" s="58"/>
      <c r="AI168" s="12"/>
      <c r="AJ168" s="28"/>
      <c r="AK168" s="28"/>
      <c r="AL168" s="28"/>
      <c r="AM168" s="28"/>
      <c r="AN168" s="28"/>
      <c r="AO168" s="28"/>
      <c r="AP168" s="28"/>
      <c r="AQ168" s="28"/>
      <c r="AR168" s="28"/>
      <c r="AS168" s="28"/>
      <c r="AT168" s="12" t="e">
        <f>AR166-AD168</f>
        <v>#REF!</v>
      </c>
      <c r="AU168" s="36" t="e">
        <f>AT168/AD168</f>
        <v>#REF!</v>
      </c>
      <c r="AV168" s="52">
        <f>AS166-AF168</f>
        <v>1466084.8808900001</v>
      </c>
      <c r="AW168" s="36" t="e">
        <f>AV168/AF168</f>
        <v>#DIV/0!</v>
      </c>
      <c r="AX168" s="58"/>
      <c r="AY168" s="58" t="e">
        <f>+AY167/AF168-1</f>
        <v>#DIV/0!</v>
      </c>
      <c r="AZ168" s="58"/>
      <c r="BA168" s="58"/>
      <c r="BB168" s="58"/>
      <c r="BC168" s="58"/>
      <c r="BD168" s="289"/>
      <c r="BE168" s="280"/>
      <c r="BI168" s="28"/>
      <c r="BK168" s="319"/>
      <c r="BL168" s="567"/>
      <c r="BM168" s="256"/>
      <c r="BN168" s="287"/>
      <c r="BO168" s="97"/>
      <c r="BP168" s="52"/>
      <c r="BQ168" s="50"/>
      <c r="BR168" s="52"/>
      <c r="BT168" s="99"/>
      <c r="BU168" s="256"/>
      <c r="BV168" s="256"/>
      <c r="BW168" s="39">
        <f>+BW166+920</f>
        <v>1646959</v>
      </c>
      <c r="BX168" s="534">
        <f>'FY 2013 by Agency'!BW168*Inflator!E$15</f>
        <v>1646959</v>
      </c>
      <c r="BY168" s="534">
        <f>BY166-920</f>
        <v>1642951</v>
      </c>
      <c r="BZ168" s="39">
        <f t="shared" si="148"/>
        <v>1646959</v>
      </c>
      <c r="CA168" s="51" t="e">
        <f t="shared" si="149"/>
        <v>#DIV/0!</v>
      </c>
      <c r="CC168" s="39"/>
    </row>
    <row r="169" spans="1:81" s="13" customFormat="1" ht="18" customHeight="1">
      <c r="A169" s="64"/>
      <c r="B169" s="322"/>
      <c r="C169" s="322"/>
      <c r="D169" s="322"/>
      <c r="E169" s="351"/>
      <c r="F169" s="10"/>
      <c r="G169" s="10"/>
      <c r="H169" s="14"/>
      <c r="I169" s="10"/>
      <c r="J169" s="10"/>
      <c r="K169" s="14"/>
      <c r="L169" s="10"/>
      <c r="M169" s="10"/>
      <c r="N169" s="14"/>
      <c r="O169" s="10"/>
      <c r="P169" s="12"/>
      <c r="Q169" s="36"/>
      <c r="R169" s="52"/>
      <c r="S169" s="52"/>
      <c r="T169" s="58"/>
      <c r="U169" s="52"/>
      <c r="V169" s="52"/>
      <c r="W169" s="58"/>
      <c r="X169" s="52"/>
      <c r="AA169" s="52"/>
      <c r="AC169" s="28"/>
      <c r="AD169" s="52" t="e">
        <f>'FY 2013 by Agency'!AD169*Inflator!#REF!</f>
        <v>#REF!</v>
      </c>
      <c r="AE169" s="180"/>
      <c r="AF169" s="163"/>
      <c r="AG169" s="163"/>
      <c r="AH169" s="163"/>
      <c r="AI169" s="163"/>
      <c r="AM169" s="84"/>
      <c r="AN169" s="172"/>
      <c r="AO169" s="97"/>
      <c r="AP169" s="12"/>
      <c r="AQ169" s="12"/>
      <c r="AR169" s="12"/>
      <c r="AS169" s="52"/>
      <c r="AT169" s="52"/>
      <c r="AU169" s="30"/>
      <c r="AV169" s="97"/>
      <c r="AW169" s="136"/>
      <c r="BC169" s="36"/>
      <c r="BD169" s="292"/>
      <c r="BE169" s="300"/>
      <c r="BI169" s="28"/>
      <c r="BK169" s="319"/>
      <c r="BL169" s="567"/>
      <c r="BM169" s="256"/>
      <c r="BN169" s="287"/>
      <c r="BP169" s="52"/>
      <c r="BQ169" s="50"/>
      <c r="BR169" s="52"/>
      <c r="BS169" s="52"/>
      <c r="BT169" s="50"/>
      <c r="BU169" s="256"/>
      <c r="BV169" s="256"/>
      <c r="BW169" s="39"/>
      <c r="BX169" s="12"/>
      <c r="BY169" s="534"/>
      <c r="BZ169" s="39">
        <f t="shared" si="148"/>
        <v>0</v>
      </c>
      <c r="CA169" s="51" t="e">
        <f t="shared" si="149"/>
        <v>#DIV/0!</v>
      </c>
      <c r="CC169" s="39"/>
    </row>
    <row r="170" spans="1:81" s="13" customFormat="1" ht="18" customHeight="1">
      <c r="A170" s="73" t="s">
        <v>85</v>
      </c>
      <c r="B170" s="322"/>
      <c r="C170" s="322"/>
      <c r="D170" s="322"/>
      <c r="E170" s="351"/>
      <c r="F170" s="10"/>
      <c r="G170" s="10"/>
      <c r="H170" s="14"/>
      <c r="I170" s="10"/>
      <c r="J170" s="10"/>
      <c r="K170" s="14"/>
      <c r="L170" s="10"/>
      <c r="M170" s="10"/>
      <c r="N170" s="14"/>
      <c r="O170" s="10"/>
      <c r="P170" s="12"/>
      <c r="Q170" s="36"/>
      <c r="R170" s="52"/>
      <c r="S170" s="52"/>
      <c r="T170" s="58"/>
      <c r="U170" s="52"/>
      <c r="V170" s="52"/>
      <c r="W170" s="58"/>
      <c r="X170" s="52"/>
      <c r="AA170" s="52"/>
      <c r="AC170" s="28"/>
      <c r="AD170" s="52"/>
      <c r="AE170" s="180"/>
      <c r="AF170" s="163"/>
      <c r="AG170" s="163"/>
      <c r="AH170" s="163"/>
      <c r="AI170" s="163"/>
      <c r="AM170" s="84"/>
      <c r="AN170" s="172"/>
      <c r="AO170" s="97"/>
      <c r="AP170" s="12"/>
      <c r="AQ170" s="12"/>
      <c r="AR170" s="12"/>
      <c r="AS170" s="52"/>
      <c r="AT170" s="52"/>
      <c r="AU170" s="30"/>
      <c r="AV170" s="97"/>
      <c r="AW170" s="136"/>
      <c r="BD170" s="292"/>
      <c r="BE170" s="300"/>
      <c r="BI170" s="28"/>
      <c r="BK170" s="319"/>
      <c r="BL170" s="567"/>
      <c r="BM170" s="256"/>
      <c r="BN170" s="287"/>
      <c r="BP170" s="52"/>
      <c r="BQ170" s="50"/>
      <c r="BR170" s="52"/>
      <c r="BS170" s="52"/>
      <c r="BT170" s="50"/>
      <c r="BU170" s="256"/>
      <c r="BV170" s="256"/>
      <c r="BW170" s="39" t="e">
        <f>BW163-AX163</f>
        <v>#VALUE!</v>
      </c>
      <c r="BY170" s="534"/>
      <c r="BZ170" s="39" t="e">
        <f t="shared" si="148"/>
        <v>#VALUE!</v>
      </c>
      <c r="CA170" s="51" t="e">
        <f t="shared" si="149"/>
        <v>#VALUE!</v>
      </c>
      <c r="CC170" s="39"/>
    </row>
    <row r="171" spans="1:81" s="13" customFormat="1" ht="18" customHeight="1">
      <c r="A171" s="73"/>
      <c r="B171" s="322"/>
      <c r="C171" s="322"/>
      <c r="D171" s="322"/>
      <c r="E171" s="351"/>
      <c r="F171" s="10"/>
      <c r="G171" s="10"/>
      <c r="H171" s="14"/>
      <c r="I171" s="10"/>
      <c r="J171" s="10"/>
      <c r="K171" s="14"/>
      <c r="L171" s="10"/>
      <c r="M171" s="10"/>
      <c r="N171" s="14"/>
      <c r="O171" s="10"/>
      <c r="P171" s="12"/>
      <c r="Q171" s="36"/>
      <c r="R171" s="52"/>
      <c r="S171" s="52"/>
      <c r="T171" s="58"/>
      <c r="U171" s="52"/>
      <c r="V171" s="52"/>
      <c r="W171" s="58"/>
      <c r="X171" s="52"/>
      <c r="AA171" s="52"/>
      <c r="AC171" s="28"/>
      <c r="AD171" s="52"/>
      <c r="AE171" s="180"/>
      <c r="AF171" s="163"/>
      <c r="AG171" s="163"/>
      <c r="AH171" s="163"/>
      <c r="AI171" s="163"/>
      <c r="AM171" s="84"/>
      <c r="AN171" s="172"/>
      <c r="AO171" s="97"/>
      <c r="AP171" s="12"/>
      <c r="AQ171" s="12"/>
      <c r="AR171" s="12"/>
      <c r="AS171" s="52"/>
      <c r="AT171" s="52"/>
      <c r="AU171" s="30"/>
      <c r="AV171" s="97"/>
      <c r="AW171" s="136"/>
      <c r="BD171" s="292"/>
      <c r="BE171" s="300"/>
      <c r="BI171" s="28"/>
      <c r="BK171" s="319"/>
      <c r="BL171" s="567"/>
      <c r="BM171" s="256"/>
      <c r="BN171" s="287"/>
      <c r="BP171" s="52"/>
      <c r="BQ171" s="50"/>
      <c r="BR171" s="52"/>
      <c r="BS171" s="52"/>
      <c r="BT171" s="50"/>
      <c r="BU171" s="256"/>
      <c r="BV171" s="256"/>
      <c r="BW171" s="39" t="e">
        <f>BW163-AX163</f>
        <v>#VALUE!</v>
      </c>
      <c r="BY171" s="534"/>
      <c r="BZ171" s="39" t="e">
        <f t="shared" si="148"/>
        <v>#VALUE!</v>
      </c>
      <c r="CA171" s="51" t="e">
        <f t="shared" si="149"/>
        <v>#VALUE!</v>
      </c>
      <c r="CC171" s="39"/>
    </row>
    <row r="172" spans="1:81" s="13" customFormat="1" ht="18" customHeight="1">
      <c r="A172" s="13" t="s">
        <v>399</v>
      </c>
      <c r="B172" s="322"/>
      <c r="C172" s="322"/>
      <c r="D172" s="322"/>
      <c r="E172" s="351"/>
      <c r="F172" s="10"/>
      <c r="G172" s="10"/>
      <c r="H172" s="14"/>
      <c r="I172" s="10"/>
      <c r="J172" s="10"/>
      <c r="K172" s="14"/>
      <c r="L172" s="10"/>
      <c r="M172" s="10"/>
      <c r="N172" s="14"/>
      <c r="O172" s="10"/>
      <c r="P172" s="12"/>
      <c r="Q172" s="36"/>
      <c r="R172" s="52"/>
      <c r="S172" s="52"/>
      <c r="T172" s="58"/>
      <c r="U172" s="52"/>
      <c r="V172" s="52"/>
      <c r="W172" s="58"/>
      <c r="X172" s="52"/>
      <c r="AA172" s="52"/>
      <c r="AC172" s="28"/>
      <c r="AD172" s="52"/>
      <c r="AE172" s="180"/>
      <c r="AF172" s="163"/>
      <c r="AG172" s="163"/>
      <c r="AH172" s="163"/>
      <c r="AI172" s="163"/>
      <c r="AM172" s="84"/>
      <c r="AN172" s="172"/>
      <c r="AO172" s="97"/>
      <c r="AP172" s="12"/>
      <c r="AQ172" s="12"/>
      <c r="AR172" s="12"/>
      <c r="AS172" s="52"/>
      <c r="AT172" s="52"/>
      <c r="AU172" s="242"/>
      <c r="AV172" s="97"/>
      <c r="AW172" s="136"/>
      <c r="BD172" s="292"/>
      <c r="BE172" s="300"/>
      <c r="BI172" s="28"/>
      <c r="BK172" s="319"/>
      <c r="BL172" s="567"/>
      <c r="BM172" s="256"/>
      <c r="BN172" s="287"/>
      <c r="BP172" s="52"/>
      <c r="BQ172" s="50"/>
      <c r="BR172" s="52"/>
      <c r="BS172" s="52"/>
      <c r="BT172" s="50"/>
      <c r="BU172" s="256"/>
      <c r="BV172" s="256"/>
      <c r="BW172" s="39"/>
      <c r="BY172" s="534"/>
      <c r="BZ172" s="39">
        <f t="shared" si="148"/>
        <v>0</v>
      </c>
      <c r="CA172" s="51" t="e">
        <f t="shared" si="149"/>
        <v>#DIV/0!</v>
      </c>
      <c r="CC172" s="39"/>
    </row>
    <row r="173" spans="1:81" s="13" customFormat="1" ht="18" customHeight="1">
      <c r="A173" s="73" t="s">
        <v>189</v>
      </c>
      <c r="B173" s="322"/>
      <c r="C173" s="322"/>
      <c r="D173" s="322"/>
      <c r="E173" s="351"/>
      <c r="F173" s="10"/>
      <c r="G173" s="10"/>
      <c r="H173" s="14"/>
      <c r="I173" s="10"/>
      <c r="J173" s="10"/>
      <c r="K173" s="14"/>
      <c r="L173" s="10"/>
      <c r="M173" s="10"/>
      <c r="N173" s="14"/>
      <c r="O173" s="10"/>
      <c r="P173" s="12"/>
      <c r="Q173" s="36"/>
      <c r="R173" s="52"/>
      <c r="S173" s="52"/>
      <c r="T173" s="58"/>
      <c r="U173" s="52"/>
      <c r="V173" s="52"/>
      <c r="W173" s="58"/>
      <c r="X173" s="52"/>
      <c r="AA173" s="52"/>
      <c r="AC173" s="28"/>
      <c r="AD173" s="52"/>
      <c r="AE173" s="180"/>
      <c r="AF173" s="163"/>
      <c r="AG173" s="163"/>
      <c r="AH173" s="163"/>
      <c r="AI173" s="163"/>
      <c r="AM173" s="84"/>
      <c r="AN173" s="172"/>
      <c r="AO173" s="97"/>
      <c r="AP173" s="12"/>
      <c r="AQ173" s="12"/>
      <c r="AR173" s="12"/>
      <c r="AS173" s="52"/>
      <c r="AT173" s="52"/>
      <c r="AU173" s="30"/>
      <c r="AV173" s="97"/>
      <c r="AW173" s="136"/>
      <c r="BD173" s="292"/>
      <c r="BE173" s="300"/>
      <c r="BI173" s="28"/>
      <c r="BK173" s="319"/>
      <c r="BL173" s="567"/>
      <c r="BM173" s="256"/>
      <c r="BN173" s="287"/>
      <c r="BP173" s="52"/>
      <c r="BQ173" s="50"/>
      <c r="BR173" s="52"/>
      <c r="BS173" s="52"/>
      <c r="BT173" s="50"/>
      <c r="BU173" s="256"/>
      <c r="BV173" s="256"/>
      <c r="BW173" s="39"/>
      <c r="BY173" s="534"/>
      <c r="BZ173" s="39">
        <f t="shared" si="148"/>
        <v>0</v>
      </c>
      <c r="CA173" s="51" t="e">
        <f t="shared" si="149"/>
        <v>#DIV/0!</v>
      </c>
      <c r="CC173" s="39"/>
    </row>
    <row r="174" spans="1:81" s="13" customFormat="1" ht="18" customHeight="1">
      <c r="A174" s="73" t="s">
        <v>193</v>
      </c>
      <c r="B174" s="322"/>
      <c r="C174" s="322"/>
      <c r="D174" s="322"/>
      <c r="E174" s="351"/>
      <c r="F174" s="10"/>
      <c r="G174" s="10"/>
      <c r="H174" s="14"/>
      <c r="I174" s="10"/>
      <c r="J174" s="10"/>
      <c r="K174" s="14"/>
      <c r="L174" s="10"/>
      <c r="M174" s="10"/>
      <c r="N174" s="14"/>
      <c r="O174" s="10"/>
      <c r="P174" s="12"/>
      <c r="Q174" s="36"/>
      <c r="R174" s="52"/>
      <c r="S174" s="52"/>
      <c r="T174" s="58"/>
      <c r="U174" s="52"/>
      <c r="V174" s="52"/>
      <c r="W174" s="58"/>
      <c r="X174" s="52"/>
      <c r="AA174" s="52"/>
      <c r="AC174" s="28"/>
      <c r="AD174" s="52"/>
      <c r="AE174" s="180"/>
      <c r="AF174" s="163"/>
      <c r="AG174" s="163"/>
      <c r="AH174" s="163"/>
      <c r="AI174" s="163"/>
      <c r="AM174" s="84"/>
      <c r="AN174" s="172"/>
      <c r="AO174" s="97"/>
      <c r="AP174" s="12"/>
      <c r="AQ174" s="12"/>
      <c r="AR174" s="12"/>
      <c r="AS174" s="52"/>
      <c r="AT174" s="52"/>
      <c r="AU174" s="30"/>
      <c r="AV174" s="97"/>
      <c r="AW174" s="136"/>
      <c r="BD174" s="292"/>
      <c r="BE174" s="300"/>
      <c r="BI174" s="28"/>
      <c r="BK174" s="319"/>
      <c r="BL174" s="567"/>
      <c r="BM174" s="256"/>
      <c r="BN174" s="287"/>
      <c r="BP174" s="52"/>
      <c r="BQ174" s="50"/>
      <c r="BR174" s="52"/>
      <c r="BS174" s="52"/>
      <c r="BT174" s="50"/>
      <c r="BU174" s="256"/>
      <c r="BV174" s="256"/>
      <c r="BW174" s="39"/>
      <c r="BY174" s="534"/>
      <c r="BZ174" s="39">
        <f t="shared" si="148"/>
        <v>0</v>
      </c>
      <c r="CA174" s="51" t="e">
        <f t="shared" si="149"/>
        <v>#DIV/0!</v>
      </c>
      <c r="CC174" s="39"/>
    </row>
    <row r="175" spans="1:81" s="13" customFormat="1" ht="18" customHeight="1">
      <c r="A175" s="73" t="s">
        <v>195</v>
      </c>
      <c r="B175" s="322"/>
      <c r="C175" s="322"/>
      <c r="D175" s="322"/>
      <c r="E175" s="351"/>
      <c r="F175" s="10"/>
      <c r="G175" s="10"/>
      <c r="H175" s="14"/>
      <c r="I175" s="10"/>
      <c r="J175" s="10"/>
      <c r="K175" s="14"/>
      <c r="L175" s="10"/>
      <c r="M175" s="10"/>
      <c r="N175" s="14"/>
      <c r="O175" s="10"/>
      <c r="P175" s="12"/>
      <c r="Q175" s="36"/>
      <c r="R175" s="52"/>
      <c r="S175" s="52"/>
      <c r="T175" s="58"/>
      <c r="U175" s="52"/>
      <c r="V175" s="52"/>
      <c r="W175" s="58"/>
      <c r="X175" s="52"/>
      <c r="AA175" s="52"/>
      <c r="AC175" s="28"/>
      <c r="AD175" s="52"/>
      <c r="AE175" s="180"/>
      <c r="AF175" s="163"/>
      <c r="AG175" s="163"/>
      <c r="AH175" s="163"/>
      <c r="AI175" s="163"/>
      <c r="AM175" s="84"/>
      <c r="AN175" s="172"/>
      <c r="AO175" s="97"/>
      <c r="AP175" s="12"/>
      <c r="AQ175" s="12"/>
      <c r="AR175" s="12"/>
      <c r="AS175" s="52"/>
      <c r="AT175" s="52"/>
      <c r="AU175" s="30"/>
      <c r="AV175" s="97"/>
      <c r="AW175" s="136"/>
      <c r="BD175" s="292"/>
      <c r="BE175" s="300"/>
      <c r="BI175" s="28"/>
      <c r="BK175" s="319"/>
      <c r="BL175" s="567"/>
      <c r="BM175" s="256"/>
      <c r="BN175" s="287"/>
      <c r="BP175" s="52"/>
      <c r="BQ175" s="50"/>
      <c r="BR175" s="52"/>
      <c r="BS175" s="52"/>
      <c r="BT175" s="50"/>
      <c r="BU175" s="256"/>
      <c r="BV175" s="256"/>
      <c r="BW175" s="39"/>
      <c r="BY175" s="534"/>
      <c r="BZ175" s="39">
        <f t="shared" si="148"/>
        <v>0</v>
      </c>
      <c r="CA175" s="51" t="e">
        <f t="shared" si="149"/>
        <v>#DIV/0!</v>
      </c>
      <c r="CC175" s="39"/>
    </row>
    <row r="176" spans="1:81" ht="18" customHeight="1">
      <c r="A176" s="73" t="s">
        <v>196</v>
      </c>
      <c r="B176" s="322"/>
      <c r="C176" s="322"/>
      <c r="D176" s="322"/>
      <c r="E176" s="351"/>
      <c r="F176" s="10"/>
      <c r="G176" s="10"/>
      <c r="H176" s="14"/>
      <c r="I176" s="10"/>
      <c r="J176" s="10"/>
      <c r="K176" s="14"/>
      <c r="L176" s="10"/>
      <c r="M176" s="10"/>
      <c r="N176" s="14"/>
      <c r="O176" s="10"/>
      <c r="P176" s="63"/>
      <c r="Q176" s="72"/>
      <c r="R176" s="52"/>
      <c r="S176" s="52"/>
      <c r="T176" s="58"/>
      <c r="U176" s="52"/>
      <c r="V176" s="52"/>
      <c r="W176" s="58"/>
      <c r="X176" s="52"/>
      <c r="AA176" s="52"/>
      <c r="AD176" s="52"/>
      <c r="AI176" s="157"/>
      <c r="AM176" s="84"/>
      <c r="AN176" s="172"/>
      <c r="BD176" s="289"/>
      <c r="BI176" s="65"/>
      <c r="BL176" s="568"/>
      <c r="BN176" s="51"/>
      <c r="BP176" s="52"/>
      <c r="BR176" s="52"/>
      <c r="BS176" s="52"/>
      <c r="BW176" s="39"/>
      <c r="BY176" s="534"/>
      <c r="BZ176" s="39">
        <f t="shared" si="148"/>
        <v>0</v>
      </c>
      <c r="CA176" s="51" t="e">
        <f t="shared" si="149"/>
        <v>#DIV/0!</v>
      </c>
      <c r="CC176" s="39"/>
    </row>
    <row r="177" spans="1:81" ht="18" customHeight="1">
      <c r="A177" s="73"/>
      <c r="B177" s="322"/>
      <c r="C177" s="322"/>
      <c r="D177" s="322"/>
      <c r="E177" s="351"/>
      <c r="F177" s="10"/>
      <c r="G177" s="10"/>
      <c r="H177" s="14"/>
      <c r="I177" s="10"/>
      <c r="J177" s="10"/>
      <c r="K177" s="14"/>
      <c r="L177" s="10"/>
      <c r="M177" s="10"/>
      <c r="N177" s="14"/>
      <c r="O177" s="10"/>
      <c r="P177" s="63"/>
      <c r="Q177" s="72"/>
      <c r="R177" s="52"/>
      <c r="S177" s="52"/>
      <c r="T177" s="58"/>
      <c r="U177" s="52"/>
      <c r="V177" s="52"/>
      <c r="W177" s="58"/>
      <c r="X177" s="52"/>
      <c r="AA177" s="52"/>
      <c r="AD177" s="52"/>
      <c r="AI177" s="157"/>
      <c r="AM177" s="84"/>
      <c r="AN177" s="172"/>
      <c r="BD177" s="289"/>
      <c r="BI177" s="65"/>
      <c r="BL177" s="568"/>
      <c r="BN177" s="51"/>
      <c r="BP177" s="52"/>
      <c r="BR177" s="52"/>
      <c r="BS177" s="52"/>
      <c r="BW177" s="39"/>
      <c r="BY177" s="534"/>
      <c r="BZ177" s="39">
        <f t="shared" si="148"/>
        <v>0</v>
      </c>
      <c r="CA177" s="51" t="e">
        <f t="shared" si="149"/>
        <v>#DIV/0!</v>
      </c>
      <c r="CC177" s="39"/>
    </row>
    <row r="178" spans="1:81" s="109" customFormat="1" ht="18" customHeight="1">
      <c r="A178" s="116" t="s">
        <v>30</v>
      </c>
      <c r="B178" s="354"/>
      <c r="C178" s="354"/>
      <c r="D178" s="354"/>
      <c r="E178" s="357"/>
      <c r="F178" s="358"/>
      <c r="G178" s="358"/>
      <c r="H178" s="360"/>
      <c r="I178" s="358"/>
      <c r="J178" s="358"/>
      <c r="K178" s="360"/>
      <c r="L178" s="358"/>
      <c r="M178" s="358"/>
      <c r="N178" s="360"/>
      <c r="O178" s="358"/>
      <c r="P178" s="105"/>
      <c r="Q178" s="117"/>
      <c r="R178" s="107"/>
      <c r="S178" s="107"/>
      <c r="T178" s="125"/>
      <c r="U178" s="107"/>
      <c r="V178" s="107"/>
      <c r="W178" s="125"/>
      <c r="X178" s="107"/>
      <c r="AA178" s="107"/>
      <c r="AC178" s="110"/>
      <c r="AD178" s="107"/>
      <c r="AE178" s="175"/>
      <c r="AF178" s="158"/>
      <c r="AG178" s="158"/>
      <c r="AH178" s="158"/>
      <c r="AI178" s="158"/>
      <c r="AM178" s="123"/>
      <c r="AN178" s="170"/>
      <c r="AO178" s="113"/>
      <c r="AP178" s="107"/>
      <c r="AQ178" s="107"/>
      <c r="AR178" s="107"/>
      <c r="AS178" s="107"/>
      <c r="AT178" s="107"/>
      <c r="AU178" s="200"/>
      <c r="AV178" s="114"/>
      <c r="AW178" s="107"/>
      <c r="BD178" s="290"/>
      <c r="BE178" s="298"/>
      <c r="BI178" s="110"/>
      <c r="BK178" s="316"/>
      <c r="BL178" s="577"/>
      <c r="BM178" s="107"/>
      <c r="BN178" s="108"/>
      <c r="BP178" s="107"/>
      <c r="BR178" s="107"/>
      <c r="BS178" s="107"/>
      <c r="BU178" s="107"/>
      <c r="BV178" s="107"/>
      <c r="BW178" s="554"/>
      <c r="BY178" s="680"/>
      <c r="BZ178" s="39">
        <f t="shared" si="148"/>
        <v>0</v>
      </c>
      <c r="CA178" s="51" t="e">
        <f t="shared" si="149"/>
        <v>#DIV/0!</v>
      </c>
      <c r="CC178" s="39"/>
    </row>
    <row r="179" spans="1:81" ht="18" customHeight="1">
      <c r="A179" s="59" t="s">
        <v>71</v>
      </c>
      <c r="B179" s="322">
        <f>'FY 2013 by Agency'!B179*Inflator!$E$2</f>
        <v>0</v>
      </c>
      <c r="C179" s="322">
        <f>'FY 2013 by Agency'!C179*Inflator!$E$3</f>
        <v>0</v>
      </c>
      <c r="D179" s="322">
        <f t="shared" si="150"/>
        <v>0</v>
      </c>
      <c r="E179" s="330" t="s">
        <v>78</v>
      </c>
      <c r="F179" s="10">
        <f>'FY 2013 by Agency'!F179*Inflator!$E$4</f>
        <v>0</v>
      </c>
      <c r="G179" s="10">
        <f t="shared" si="152"/>
        <v>0</v>
      </c>
      <c r="H179" s="330" t="s">
        <v>78</v>
      </c>
      <c r="I179" s="10">
        <f>'FY 2013 by Agency'!I179*Inflator!$E$5</f>
        <v>111374.5362588323</v>
      </c>
      <c r="J179" s="10">
        <f t="shared" si="154"/>
        <v>111374.5362588323</v>
      </c>
      <c r="K179" s="330" t="s">
        <v>78</v>
      </c>
      <c r="L179" s="10">
        <f>'FY 2013 by Agency'!L179*Inflator!$E$6</f>
        <v>118706.43111595782</v>
      </c>
      <c r="M179" s="10">
        <f t="shared" si="156"/>
        <v>7331.8948571255169</v>
      </c>
      <c r="N179" s="14">
        <f t="shared" si="157"/>
        <v>6.5830979893701486E-2</v>
      </c>
      <c r="O179" s="10">
        <f>'FY 2013 by Agency'!O179*Inflator!$E$7</f>
        <v>110246.62090813092</v>
      </c>
      <c r="P179" s="52">
        <f>O179-L179</f>
        <v>-8459.8102078269003</v>
      </c>
      <c r="Q179" s="58">
        <f>P179/L179</f>
        <v>-7.1266654454154837E-2</v>
      </c>
      <c r="R179" s="52">
        <f>'FY 2013 by Agency'!R179*Inflator!$E$8</f>
        <v>116072.95790902918</v>
      </c>
      <c r="S179" s="52">
        <f t="shared" ref="S179:S188" si="194">R179-O179</f>
        <v>5826.3370008982602</v>
      </c>
      <c r="T179" s="58">
        <f>S179/O179</f>
        <v>5.2848213876354334E-2</v>
      </c>
      <c r="U179" s="52">
        <f>'FY 2013 by Agency'!U179*Inflator!$E$9</f>
        <v>128054.80172413793</v>
      </c>
      <c r="V179" s="52">
        <f>U179-R179</f>
        <v>11981.843815108747</v>
      </c>
      <c r="W179" s="58">
        <f>V179/R179</f>
        <v>0.10322683276926031</v>
      </c>
      <c r="X179" s="52">
        <f>'FY 2013 by Agency'!X179*Inflator!$E$10</f>
        <v>139516.54938075581</v>
      </c>
      <c r="Y179" s="39">
        <f t="shared" ref="Y179:Y188" si="195">X179-U179</f>
        <v>11461.747656617881</v>
      </c>
      <c r="Z179" s="58">
        <f t="shared" ref="Z179:Z188" si="196">Y179/U179</f>
        <v>8.9506582356117748E-2</v>
      </c>
      <c r="AA179" s="52">
        <f>'FY 2013 by Agency'!AA179*Inflator!$E$11</f>
        <v>148442.4797706276</v>
      </c>
      <c r="AB179" s="39">
        <f t="shared" ref="AB179:AB188" si="197">AA179-X179</f>
        <v>8925.9303898717917</v>
      </c>
      <c r="AC179" s="58">
        <f t="shared" ref="AC179:AC188" si="198">AB179/X179</f>
        <v>6.3977574198111495E-2</v>
      </c>
      <c r="AD179" s="52" t="e">
        <f>'FY 2013 by Agency'!AD179*Inflator!#REF!</f>
        <v>#REF!</v>
      </c>
      <c r="AE179" s="52">
        <f>'FY 2013 by Agency'!AE179*Inflator!$B$8</f>
        <v>0</v>
      </c>
      <c r="AF179" s="52">
        <f>'FY 2013 by Agency'!AF179*Inflator!$E$12</f>
        <v>126904.44172932333</v>
      </c>
      <c r="AG179" s="52">
        <f t="shared" ref="AG179:AG188" si="199">AF179-AA179</f>
        <v>-21538.038041304273</v>
      </c>
      <c r="AH179" s="58">
        <f t="shared" ref="AH179:AH188" si="200">AG179/AA179</f>
        <v>-0.14509349395526613</v>
      </c>
      <c r="AI179" s="52">
        <f>'FY 2013 by Agency'!AI179*Inflator!$B$8</f>
        <v>0</v>
      </c>
      <c r="AJ179" s="52">
        <f>'FY 2013 by Agency'!AJ179*Inflator!$B$8</f>
        <v>0</v>
      </c>
      <c r="AK179" s="52">
        <f>'FY 2013 by Agency'!AK179</f>
        <v>125408</v>
      </c>
      <c r="AL179" s="52">
        <f>'FY 2013 by Agency'!AL179</f>
        <v>1000</v>
      </c>
      <c r="AM179" s="52">
        <f>'FY 2013 by Agency'!AM179</f>
        <v>126408</v>
      </c>
      <c r="AN179" s="52">
        <f>'FY 2013 by Agency'!AN179</f>
        <v>94636</v>
      </c>
      <c r="AO179" s="52">
        <f>'FY 2013 by Agency'!AO179</f>
        <v>100123</v>
      </c>
      <c r="AP179" s="52">
        <f>'FY 2013 by Agency'!AP179</f>
        <v>0</v>
      </c>
      <c r="AQ179" s="52">
        <f>'FY 2013 by Agency'!AQ179</f>
        <v>0</v>
      </c>
      <c r="AR179" s="52">
        <f>'FY 2013 by Agency'!AR179</f>
        <v>0</v>
      </c>
      <c r="AS179" s="52">
        <f>'FY 2013 by Agency'!AS179</f>
        <v>103877.78606999999</v>
      </c>
      <c r="AT179" s="52" t="e">
        <f t="shared" ref="AT179:AT188" si="201">AR179-AD179</f>
        <v>#REF!</v>
      </c>
      <c r="AU179" s="58" t="e">
        <f t="shared" ref="AU179:AU188" si="202">AT179/AD179</f>
        <v>#REF!</v>
      </c>
      <c r="AV179" s="52">
        <f t="shared" ref="AV179:AV188" si="203">AS179-AF179</f>
        <v>-23026.65565932334</v>
      </c>
      <c r="AW179" s="58">
        <f t="shared" ref="AW179:AW188" si="204">AV179/AF179</f>
        <v>-0.18144877630396336</v>
      </c>
      <c r="AX179" s="39">
        <f>100360+5487</f>
        <v>105847</v>
      </c>
      <c r="AY179" s="39">
        <f>100360+5487</f>
        <v>105847</v>
      </c>
      <c r="AZ179" s="39">
        <f t="shared" ref="AZ179:AZ187" si="205">+AY179-AO179</f>
        <v>5724</v>
      </c>
      <c r="BA179" s="39">
        <f t="shared" ref="BA179:BA188" si="206">+AZ179-AV179</f>
        <v>28750.65565932334</v>
      </c>
      <c r="BB179" s="39">
        <f t="shared" ref="BB179:BB187" si="207">+AZ179+AS179</f>
        <v>109601.78606999999</v>
      </c>
      <c r="BC179" s="58">
        <f t="shared" ref="BC179:BC188" si="208">+BB179/AF179-1</f>
        <v>-0.13634397207489768</v>
      </c>
      <c r="BD179" s="291">
        <v>2300.3420000000001</v>
      </c>
      <c r="BE179" s="51">
        <f t="shared" ref="BE179:BE187" si="209">BD179/AY179</f>
        <v>2.1732708532126561E-2</v>
      </c>
      <c r="BI179" s="65">
        <v>101911</v>
      </c>
      <c r="BJ179" s="39">
        <f>BI179-AY179</f>
        <v>-3936</v>
      </c>
      <c r="BK179" s="65">
        <f>BI179+AP179+AQ179</f>
        <v>101911</v>
      </c>
      <c r="BL179" s="568">
        <f>'FY 2013 by Agency'!AS179*Inflator!$E$13</f>
        <v>107713.37109119927</v>
      </c>
      <c r="BM179" s="52">
        <f>BL179-AF179</f>
        <v>-19191.07063812406</v>
      </c>
      <c r="BN179" s="51">
        <f t="shared" ref="BN179:BN188" si="210">BM179/AF179</f>
        <v>-0.15122457793129909</v>
      </c>
      <c r="BO179" s="52">
        <f>'FY 2013 by Agency'!AX179*Inflator!$E$13</f>
        <v>105673.96338114131</v>
      </c>
      <c r="BP179" s="52">
        <f t="shared" si="171"/>
        <v>-21230.47834818202</v>
      </c>
      <c r="BQ179" s="51">
        <f t="shared" si="172"/>
        <v>-0.16729499818032273</v>
      </c>
      <c r="BR179" s="52">
        <f>'FY 2013 by Agency'!BE179*Inflator!$E$14</f>
        <v>104589.2021498955</v>
      </c>
      <c r="BS179" s="52">
        <f t="shared" si="173"/>
        <v>-1084.7612312458077</v>
      </c>
      <c r="BT179" s="51">
        <f t="shared" si="174"/>
        <v>-1.0265170308161219E-2</v>
      </c>
      <c r="BU179" s="52">
        <f>'FY 2013 by Agency'!BL179*Inflator!$E$14</f>
        <v>104589.2021498955</v>
      </c>
      <c r="BV179" s="52">
        <f>BU179-BL179</f>
        <v>-3124.1689413037675</v>
      </c>
      <c r="BW179" s="487">
        <v>111153</v>
      </c>
      <c r="BX179" s="39">
        <f>'FY 2013 by Agency'!BW179*Inflator!E15</f>
        <v>111153</v>
      </c>
      <c r="BY179" s="595">
        <v>111153</v>
      </c>
      <c r="BZ179" s="39">
        <f t="shared" si="148"/>
        <v>6563.7978501045</v>
      </c>
      <c r="CA179" s="51">
        <f t="shared" si="149"/>
        <v>6.2757891973373836E-2</v>
      </c>
      <c r="CC179" s="39"/>
    </row>
    <row r="180" spans="1:81" ht="18" customHeight="1">
      <c r="A180" s="57" t="s">
        <v>117</v>
      </c>
      <c r="B180" s="322">
        <f>'FY 2013 by Agency'!B180*Inflator!$E$2</f>
        <v>142655.03110047849</v>
      </c>
      <c r="C180" s="322">
        <f>'FY 2013 by Agency'!C180*Inflator!$E$3</f>
        <v>133614.40185471406</v>
      </c>
      <c r="D180" s="322">
        <f t="shared" si="150"/>
        <v>-9040.6292457644304</v>
      </c>
      <c r="E180" s="351">
        <f t="shared" si="151"/>
        <v>-6.337406522589939E-2</v>
      </c>
      <c r="F180" s="10">
        <f>'FY 2013 by Agency'!F180*Inflator!$E$4</f>
        <v>155688.41796726303</v>
      </c>
      <c r="G180" s="10">
        <f t="shared" si="152"/>
        <v>22074.016112548969</v>
      </c>
      <c r="H180" s="14">
        <f t="shared" si="153"/>
        <v>0.16520686247992342</v>
      </c>
      <c r="I180" s="10">
        <f>'FY 2013 by Agency'!I180*Inflator!$E$5</f>
        <v>29950.166604685761</v>
      </c>
      <c r="J180" s="10">
        <f t="shared" si="154"/>
        <v>-125738.25136257727</v>
      </c>
      <c r="K180" s="14">
        <f t="shared" si="155"/>
        <v>-0.8076275229992802</v>
      </c>
      <c r="L180" s="10">
        <f>'FY 2013 by Agency'!L180*Inflator!$E$6</f>
        <v>25677.071610323517</v>
      </c>
      <c r="M180" s="10">
        <f t="shared" si="156"/>
        <v>-4273.0949943622436</v>
      </c>
      <c r="N180" s="14">
        <f t="shared" si="157"/>
        <v>-0.14267349663736795</v>
      </c>
      <c r="O180" s="10">
        <f>'FY 2013 by Agency'!O180*Inflator!$E$7</f>
        <v>33212.130939809918</v>
      </c>
      <c r="P180" s="52">
        <f t="shared" ref="P180:P187" si="211">O180-L180</f>
        <v>7535.0593294864011</v>
      </c>
      <c r="Q180" s="58">
        <f>P180/L180</f>
        <v>0.29345477723623731</v>
      </c>
      <c r="R180" s="52">
        <f>'FY 2013 by Agency'!R180*Inflator!$E$8</f>
        <v>36567.13985064494</v>
      </c>
      <c r="S180" s="52">
        <f t="shared" si="194"/>
        <v>3355.0089108350221</v>
      </c>
      <c r="T180" s="58">
        <f>S180/O180</f>
        <v>0.10101757447949601</v>
      </c>
      <c r="U180" s="52">
        <f>'FY 2013 by Agency'!U180*Inflator!$E$9</f>
        <v>52747.866047745352</v>
      </c>
      <c r="V180" s="52">
        <f t="shared" ref="V180:V188" si="212">U180-R180</f>
        <v>16180.726197100412</v>
      </c>
      <c r="W180" s="60" t="s">
        <v>78</v>
      </c>
      <c r="X180" s="52">
        <f>'FY 2013 by Agency'!X180*Inflator!$E$10</f>
        <v>147068.97935852653</v>
      </c>
      <c r="Y180" s="39">
        <f t="shared" si="195"/>
        <v>94321.113310781177</v>
      </c>
      <c r="Z180" s="58">
        <f t="shared" si="196"/>
        <v>1.7881503154157044</v>
      </c>
      <c r="AA180" s="52">
        <f>'FY 2013 by Agency'!AA180*Inflator!$E$11</f>
        <v>134303.81204205164</v>
      </c>
      <c r="AB180" s="39">
        <f t="shared" si="197"/>
        <v>-12765.167316474894</v>
      </c>
      <c r="AC180" s="58">
        <f t="shared" si="198"/>
        <v>-8.6797143572716409E-2</v>
      </c>
      <c r="AD180" s="52" t="e">
        <f>'FY 2013 by Agency'!AD180*Inflator!#REF!</f>
        <v>#REF!</v>
      </c>
      <c r="AE180" s="52">
        <f>'FY 2013 by Agency'!AE180*Inflator!$B$8</f>
        <v>0</v>
      </c>
      <c r="AF180" s="52">
        <f>'FY 2013 by Agency'!AF180*Inflator!$E$12</f>
        <v>113553.02694235591</v>
      </c>
      <c r="AG180" s="52">
        <f t="shared" si="199"/>
        <v>-20750.785099695728</v>
      </c>
      <c r="AH180" s="58">
        <f t="shared" si="200"/>
        <v>-0.15450630018750686</v>
      </c>
      <c r="AI180" s="52">
        <f>'FY 2013 by Agency'!AI180*Inflator!$B$8</f>
        <v>0</v>
      </c>
      <c r="AJ180" s="52">
        <f>'FY 2013 by Agency'!AJ180*Inflator!$B$8</f>
        <v>0</v>
      </c>
      <c r="AK180" s="52">
        <f>'FY 2013 by Agency'!AK180</f>
        <v>15</v>
      </c>
      <c r="AL180" s="52">
        <f>'FY 2013 by Agency'!AL180</f>
        <v>28</v>
      </c>
      <c r="AM180" s="52">
        <f>'FY 2013 by Agency'!AM180</f>
        <v>43</v>
      </c>
      <c r="AN180" s="52">
        <f>'FY 2013 by Agency'!AN180</f>
        <v>0</v>
      </c>
      <c r="AO180" s="52">
        <f>'FY 2013 by Agency'!AO180</f>
        <v>95490</v>
      </c>
      <c r="AP180" s="52">
        <f>'FY 2013 by Agency'!AP180</f>
        <v>0</v>
      </c>
      <c r="AQ180" s="52">
        <f>'FY 2013 by Agency'!AQ180</f>
        <v>0</v>
      </c>
      <c r="AR180" s="52">
        <f>'FY 2013 by Agency'!AR180</f>
        <v>0</v>
      </c>
      <c r="AS180" s="52">
        <f>'FY 2013 by Agency'!AS180</f>
        <v>97436.505439999994</v>
      </c>
      <c r="AT180" s="52" t="e">
        <f t="shared" si="201"/>
        <v>#REF!</v>
      </c>
      <c r="AU180" s="58" t="e">
        <f t="shared" si="202"/>
        <v>#REF!</v>
      </c>
      <c r="AV180" s="52">
        <f t="shared" si="203"/>
        <v>-16116.521502355914</v>
      </c>
      <c r="AW180" s="58">
        <f t="shared" si="204"/>
        <v>-0.14192947503316938</v>
      </c>
      <c r="AX180" s="39">
        <f>2951+15000+76899</f>
        <v>94850</v>
      </c>
      <c r="AY180" s="39">
        <f>2951+15000+76899</f>
        <v>94850</v>
      </c>
      <c r="AZ180" s="39">
        <f t="shared" si="205"/>
        <v>-640</v>
      </c>
      <c r="BA180" s="39">
        <f t="shared" si="206"/>
        <v>15476.521502355914</v>
      </c>
      <c r="BB180" s="39">
        <f t="shared" si="207"/>
        <v>96796.505439999994</v>
      </c>
      <c r="BC180" s="58">
        <f t="shared" si="208"/>
        <v>-0.14756560836429489</v>
      </c>
      <c r="BD180" s="291">
        <v>295.10000000000002</v>
      </c>
      <c r="BE180" s="51">
        <f t="shared" si="209"/>
        <v>3.1112282551396947E-3</v>
      </c>
      <c r="BI180" s="65">
        <v>93020</v>
      </c>
      <c r="BJ180" s="39">
        <f t="shared" ref="BJ180:BJ187" si="213">BI180-AY180</f>
        <v>-1830</v>
      </c>
      <c r="BK180" s="65">
        <f t="shared" ref="BK180:BK187" si="214">BI180+AP180+AQ180</f>
        <v>93020</v>
      </c>
      <c r="BL180" s="568">
        <f>'FY 2013 by Agency'!AS180*Inflator!$E$13</f>
        <v>101034.25251300581</v>
      </c>
      <c r="BM180" s="52">
        <f t="shared" ref="BM180:BM187" si="215">BL180-AF180</f>
        <v>-12518.774429350102</v>
      </c>
      <c r="BN180" s="51">
        <f t="shared" si="210"/>
        <v>-0.11024606535328324</v>
      </c>
      <c r="BO180" s="52">
        <f>'FY 2013 by Agency'!AX180*Inflator!$E$13</f>
        <v>105081.87976808057</v>
      </c>
      <c r="BP180" s="52">
        <f t="shared" si="171"/>
        <v>-8471.1471742753347</v>
      </c>
      <c r="BQ180" s="51">
        <f t="shared" si="172"/>
        <v>-7.4600804596566414E-2</v>
      </c>
      <c r="BR180" s="52">
        <f>'FY 2013 by Agency'!BE180*Inflator!$E$14</f>
        <v>125808.18512988953</v>
      </c>
      <c r="BS180" s="52">
        <f t="shared" si="173"/>
        <v>20726.305361808962</v>
      </c>
      <c r="BT180" s="51">
        <f t="shared" si="174"/>
        <v>0.19723957553436092</v>
      </c>
      <c r="BU180" s="52">
        <f>'FY 2013 by Agency'!BL180*Inflator!$E$14</f>
        <v>125808.18512988953</v>
      </c>
      <c r="BV180" s="52">
        <f t="shared" ref="BV180:BV188" si="216">BU180-BL180</f>
        <v>24773.932616883729</v>
      </c>
      <c r="BW180" s="487">
        <f>70684+1360+50600</f>
        <v>122644</v>
      </c>
      <c r="BX180" s="39">
        <f>'FY 2013 by Agency'!BW180*Inflator!E15</f>
        <v>122644</v>
      </c>
      <c r="BY180" s="595">
        <f>70623+1360+50600</f>
        <v>122583</v>
      </c>
      <c r="BZ180" s="39">
        <f t="shared" si="148"/>
        <v>-3164.1851298895344</v>
      </c>
      <c r="CA180" s="51">
        <f t="shared" si="149"/>
        <v>-2.5150868575225846E-2</v>
      </c>
      <c r="CC180" s="39"/>
    </row>
    <row r="181" spans="1:81" ht="18" customHeight="1">
      <c r="A181" s="57" t="s">
        <v>31</v>
      </c>
      <c r="B181" s="322">
        <f>'FY 2013 by Agency'!B181*Inflator!$E$2</f>
        <v>32971.980861244025</v>
      </c>
      <c r="C181" s="322">
        <f>'FY 2013 by Agency'!C181*Inflator!$E$3</f>
        <v>35718.389489953632</v>
      </c>
      <c r="D181" s="322">
        <f t="shared" si="150"/>
        <v>2746.408628709607</v>
      </c>
      <c r="E181" s="351">
        <f t="shared" si="151"/>
        <v>8.3295226946397835E-2</v>
      </c>
      <c r="F181" s="10">
        <f>'FY 2013 by Agency'!F181*Inflator!$E$4</f>
        <v>42131.578226113437</v>
      </c>
      <c r="G181" s="10">
        <f t="shared" si="152"/>
        <v>6413.1887361598056</v>
      </c>
      <c r="H181" s="14">
        <f t="shared" si="153"/>
        <v>0.17954865344540849</v>
      </c>
      <c r="I181" s="10">
        <f>'FY 2013 by Agency'!I181*Inflator!$E$5</f>
        <v>44632.711044998148</v>
      </c>
      <c r="J181" s="10">
        <f t="shared" si="154"/>
        <v>2501.132818884711</v>
      </c>
      <c r="K181" s="14">
        <f t="shared" si="155"/>
        <v>5.9364802463879505E-2</v>
      </c>
      <c r="L181" s="10">
        <f>'FY 2013 by Agency'!L181*Inflator!$E$6</f>
        <v>40741.414758269719</v>
      </c>
      <c r="M181" s="10">
        <f t="shared" si="156"/>
        <v>-3891.2962867284295</v>
      </c>
      <c r="N181" s="14">
        <f t="shared" si="157"/>
        <v>-8.7184851549915329E-2</v>
      </c>
      <c r="O181" s="10">
        <f>'FY 2013 by Agency'!O181*Inflator!$E$7</f>
        <v>45206.197817669832</v>
      </c>
      <c r="P181" s="52">
        <f t="shared" si="211"/>
        <v>4464.7830594001134</v>
      </c>
      <c r="Q181" s="58">
        <f>P181/L181</f>
        <v>0.10958831660341027</v>
      </c>
      <c r="R181" s="52">
        <f>'FY 2013 by Agency'!R181*Inflator!$E$8</f>
        <v>43158.983027834351</v>
      </c>
      <c r="S181" s="52">
        <f t="shared" si="194"/>
        <v>-2047.2147898354815</v>
      </c>
      <c r="T181" s="58">
        <f>S181/O181</f>
        <v>-4.528615297602584E-2</v>
      </c>
      <c r="U181" s="52">
        <f>'FY 2013 by Agency'!U181*Inflator!$E$9</f>
        <v>42306.001326259946</v>
      </c>
      <c r="V181" s="52">
        <f t="shared" si="212"/>
        <v>-852.98170157440472</v>
      </c>
      <c r="W181" s="58">
        <f t="shared" ref="W181:W188" si="217">V181/R181</f>
        <v>-1.9763711786820709E-2</v>
      </c>
      <c r="X181" s="52">
        <f>'FY 2013 by Agency'!X181*Inflator!$E$10</f>
        <v>41725.583994919027</v>
      </c>
      <c r="Y181" s="39">
        <f t="shared" si="195"/>
        <v>-580.41733134091919</v>
      </c>
      <c r="Z181" s="58">
        <f t="shared" si="196"/>
        <v>-1.3719503454481427E-2</v>
      </c>
      <c r="AA181" s="52">
        <f>'FY 2013 by Agency'!AA181*Inflator!$E$11</f>
        <v>46495.984708505901</v>
      </c>
      <c r="AB181" s="39">
        <f t="shared" si="197"/>
        <v>4770.4007135868742</v>
      </c>
      <c r="AC181" s="58">
        <f t="shared" si="198"/>
        <v>0.11432795558158686</v>
      </c>
      <c r="AD181" s="52" t="e">
        <f>'FY 2013 by Agency'!AD181*Inflator!#REF!</f>
        <v>#REF!</v>
      </c>
      <c r="AE181" s="52">
        <f>'FY 2013 by Agency'!AE181*Inflator!$B$8</f>
        <v>0</v>
      </c>
      <c r="AF181" s="52">
        <f>'FY 2013 by Agency'!AF181*Inflator!$E$12</f>
        <v>38573.474310776946</v>
      </c>
      <c r="AG181" s="52">
        <f t="shared" si="199"/>
        <v>-7922.5103977289546</v>
      </c>
      <c r="AH181" s="58">
        <f t="shared" si="200"/>
        <v>-0.17039128104065346</v>
      </c>
      <c r="AI181" s="52">
        <f>'FY 2013 by Agency'!AI181*Inflator!$B$8</f>
        <v>0</v>
      </c>
      <c r="AJ181" s="52">
        <f>'FY 2013 by Agency'!AJ181*Inflator!$B$8</f>
        <v>0</v>
      </c>
      <c r="AK181" s="52">
        <f>'FY 2013 by Agency'!AK181</f>
        <v>27794</v>
      </c>
      <c r="AL181" s="52">
        <f>'FY 2013 by Agency'!AL181</f>
        <v>0</v>
      </c>
      <c r="AM181" s="52">
        <f>'FY 2013 by Agency'!AM181</f>
        <v>27794</v>
      </c>
      <c r="AN181" s="52">
        <f>'FY 2013 by Agency'!AN181</f>
        <v>24182</v>
      </c>
      <c r="AO181" s="52">
        <f>'FY 2013 by Agency'!AO181</f>
        <v>36476</v>
      </c>
      <c r="AP181" s="52">
        <f>'FY 2013 by Agency'!AP181</f>
        <v>0</v>
      </c>
      <c r="AQ181" s="52">
        <f>'FY 2013 by Agency'!AQ181</f>
        <v>0</v>
      </c>
      <c r="AR181" s="52">
        <f>'FY 2013 by Agency'!AR181</f>
        <v>0</v>
      </c>
      <c r="AS181" s="52">
        <f>'FY 2013 by Agency'!AS181</f>
        <v>34866.127999999997</v>
      </c>
      <c r="AT181" s="52" t="e">
        <f t="shared" si="201"/>
        <v>#REF!</v>
      </c>
      <c r="AU181" s="58" t="e">
        <f t="shared" si="202"/>
        <v>#REF!</v>
      </c>
      <c r="AV181" s="52">
        <f t="shared" si="203"/>
        <v>-3707.3463107769494</v>
      </c>
      <c r="AW181" s="58">
        <f t="shared" si="204"/>
        <v>-9.6111288314549445E-2</v>
      </c>
      <c r="AX181" s="39">
        <f>24379+12294</f>
        <v>36673</v>
      </c>
      <c r="AY181" s="39">
        <f>24379+12294</f>
        <v>36673</v>
      </c>
      <c r="AZ181" s="39">
        <f t="shared" si="205"/>
        <v>197</v>
      </c>
      <c r="BA181" s="39">
        <f t="shared" si="206"/>
        <v>3904.3463107769494</v>
      </c>
      <c r="BB181" s="39">
        <f t="shared" si="207"/>
        <v>35063.127999999997</v>
      </c>
      <c r="BC181" s="58">
        <f t="shared" si="208"/>
        <v>-9.1004151777850151E-2</v>
      </c>
      <c r="BD181" s="291">
        <v>1072.9069999999999</v>
      </c>
      <c r="BE181" s="51">
        <f t="shared" si="209"/>
        <v>2.9256046682845687E-2</v>
      </c>
      <c r="BI181" s="65">
        <v>35689</v>
      </c>
      <c r="BJ181" s="39">
        <f t="shared" si="213"/>
        <v>-984</v>
      </c>
      <c r="BK181" s="65">
        <f t="shared" si="214"/>
        <v>35689</v>
      </c>
      <c r="BL181" s="568">
        <f>'FY 2013 by Agency'!AS181*Inflator!$E$13</f>
        <v>36153.525463533726</v>
      </c>
      <c r="BM181" s="52">
        <f t="shared" si="215"/>
        <v>-2419.9488472432204</v>
      </c>
      <c r="BN181" s="51">
        <f t="shared" si="210"/>
        <v>-6.2736087181213984E-2</v>
      </c>
      <c r="BO181" s="52">
        <f>'FY 2013 by Agency'!AX181*Inflator!$E$13</f>
        <v>38562.167226121463</v>
      </c>
      <c r="BP181" s="52">
        <f t="shared" si="171"/>
        <v>-11.307084655483777</v>
      </c>
      <c r="BQ181" s="51">
        <f t="shared" si="172"/>
        <v>-2.9313109222118264E-4</v>
      </c>
      <c r="BR181" s="52">
        <f>'FY 2013 by Agency'!BE181*Inflator!$E$14</f>
        <v>33549.79635712153</v>
      </c>
      <c r="BS181" s="52">
        <f t="shared" si="173"/>
        <v>-5012.370868999933</v>
      </c>
      <c r="BT181" s="51">
        <f t="shared" si="174"/>
        <v>-0.12998156560050972</v>
      </c>
      <c r="BU181" s="52">
        <f>'FY 2013 by Agency'!BL181*Inflator!$E$14</f>
        <v>33549.79635712153</v>
      </c>
      <c r="BV181" s="52">
        <f t="shared" si="216"/>
        <v>-2603.7291064121964</v>
      </c>
      <c r="BW181" s="487">
        <f>34060+2200</f>
        <v>36260</v>
      </c>
      <c r="BX181" s="39">
        <f>'FY 2013 by Agency'!BW181*Inflator!E15</f>
        <v>36260</v>
      </c>
      <c r="BY181" s="595">
        <v>34060</v>
      </c>
      <c r="BZ181" s="39">
        <f t="shared" si="148"/>
        <v>2710.2036428784704</v>
      </c>
      <c r="CA181" s="51">
        <f t="shared" si="149"/>
        <v>8.0781522904927627E-2</v>
      </c>
      <c r="CC181" s="39"/>
    </row>
    <row r="182" spans="1:81" ht="18" customHeight="1">
      <c r="A182" s="57" t="s">
        <v>118</v>
      </c>
      <c r="B182" s="322">
        <f>'FY 2013 by Agency'!B182*Inflator!$E$2</f>
        <v>0</v>
      </c>
      <c r="C182" s="322">
        <f>'FY 2013 by Agency'!C182*Inflator!$E$3</f>
        <v>0</v>
      </c>
      <c r="D182" s="330" t="s">
        <v>78</v>
      </c>
      <c r="E182" s="330" t="s">
        <v>78</v>
      </c>
      <c r="F182" s="10">
        <f>'FY 2013 by Agency'!F182*Inflator!$E$4</f>
        <v>3501.479253901789</v>
      </c>
      <c r="G182" s="10">
        <f t="shared" si="152"/>
        <v>3501.479253901789</v>
      </c>
      <c r="H182" s="330" t="s">
        <v>78</v>
      </c>
      <c r="I182" s="10">
        <f>'FY 2013 by Agency'!I182*Inflator!$E$5</f>
        <v>3624.1963555224997</v>
      </c>
      <c r="J182" s="10">
        <f t="shared" si="154"/>
        <v>122.71710162071076</v>
      </c>
      <c r="K182" s="60" t="s">
        <v>78</v>
      </c>
      <c r="L182" s="10">
        <f>'FY 2013 by Agency'!L182*Inflator!$E$6</f>
        <v>2441.9651035986913</v>
      </c>
      <c r="M182" s="10">
        <f t="shared" si="156"/>
        <v>-1182.2312519238085</v>
      </c>
      <c r="N182" s="60" t="s">
        <v>78</v>
      </c>
      <c r="O182" s="10">
        <f>'FY 2013 by Agency'!O182*Inflator!$E$7</f>
        <v>5150.2245688137973</v>
      </c>
      <c r="P182" s="52">
        <f t="shared" si="211"/>
        <v>2708.259465215106</v>
      </c>
      <c r="Q182" s="60" t="s">
        <v>78</v>
      </c>
      <c r="R182" s="52">
        <f>'FY 2013 by Agency'!R182*Inflator!$E$8</f>
        <v>3464.8988458927356</v>
      </c>
      <c r="S182" s="52">
        <f t="shared" si="194"/>
        <v>-1685.3257229210617</v>
      </c>
      <c r="T182" s="60" t="s">
        <v>78</v>
      </c>
      <c r="U182" s="52">
        <f>'FY 2013 by Agency'!U182*Inflator!$E$9</f>
        <v>30411.874668435012</v>
      </c>
      <c r="V182" s="52">
        <f t="shared" si="212"/>
        <v>26946.975822542277</v>
      </c>
      <c r="W182" s="60" t="s">
        <v>78</v>
      </c>
      <c r="X182" s="52">
        <f>'FY 2013 by Agency'!X182*Inflator!$E$10</f>
        <v>40428.538583677364</v>
      </c>
      <c r="Y182" s="39">
        <f t="shared" si="195"/>
        <v>10016.663915242352</v>
      </c>
      <c r="Z182" s="58">
        <f t="shared" si="196"/>
        <v>0.32936686818714317</v>
      </c>
      <c r="AA182" s="52">
        <f>'FY 2013 by Agency'!AA182*Inflator!$E$11</f>
        <v>62495.487734947448</v>
      </c>
      <c r="AB182" s="39">
        <f t="shared" si="197"/>
        <v>22066.949151270084</v>
      </c>
      <c r="AC182" s="58">
        <f t="shared" si="198"/>
        <v>0.54582604082007069</v>
      </c>
      <c r="AD182" s="52" t="e">
        <f>'FY 2013 by Agency'!AD182*Inflator!#REF!</f>
        <v>#REF!</v>
      </c>
      <c r="AE182" s="52">
        <f>'FY 2013 by Agency'!AE182*Inflator!$B$8</f>
        <v>0</v>
      </c>
      <c r="AF182" s="52">
        <f>'FY 2013 by Agency'!AF182*Inflator!$E$12</f>
        <v>49423.228696741862</v>
      </c>
      <c r="AG182" s="52">
        <f t="shared" si="199"/>
        <v>-13072.259038205586</v>
      </c>
      <c r="AH182" s="58">
        <f t="shared" si="200"/>
        <v>-0.20917124598894177</v>
      </c>
      <c r="AI182" s="52">
        <f>'FY 2013 by Agency'!AI182*Inflator!$B$8</f>
        <v>0</v>
      </c>
      <c r="AJ182" s="52">
        <f>'FY 2013 by Agency'!AJ182*Inflator!$B$8</f>
        <v>0</v>
      </c>
      <c r="AK182" s="52">
        <f>'FY 2013 by Agency'!AK182</f>
        <v>12630</v>
      </c>
      <c r="AL182" s="52">
        <f>'FY 2013 by Agency'!AL182</f>
        <v>6507</v>
      </c>
      <c r="AM182" s="52">
        <f>'FY 2013 by Agency'!AM182</f>
        <v>19137</v>
      </c>
      <c r="AN182" s="52">
        <f>'FY 2013 by Agency'!AN182</f>
        <v>13925</v>
      </c>
      <c r="AO182" s="52">
        <f>'FY 2013 by Agency'!AO182</f>
        <v>50811</v>
      </c>
      <c r="AP182" s="52">
        <f>'FY 2013 by Agency'!AP182</f>
        <v>0</v>
      </c>
      <c r="AQ182" s="52">
        <f>'FY 2013 by Agency'!AQ182</f>
        <v>0</v>
      </c>
      <c r="AR182" s="52">
        <f>'FY 2013 by Agency'!AR182</f>
        <v>0</v>
      </c>
      <c r="AS182" s="52">
        <f>'FY 2013 by Agency'!AS182</f>
        <v>37410.08898</v>
      </c>
      <c r="AT182" s="52" t="e">
        <f t="shared" si="201"/>
        <v>#REF!</v>
      </c>
      <c r="AU182" s="58" t="e">
        <f t="shared" si="202"/>
        <v>#REF!</v>
      </c>
      <c r="AV182" s="52">
        <f t="shared" si="203"/>
        <v>-12013.139716741862</v>
      </c>
      <c r="AW182" s="58">
        <f t="shared" si="204"/>
        <v>-0.24306667195811524</v>
      </c>
      <c r="AX182" s="39">
        <f>13636+35164</f>
        <v>48800</v>
      </c>
      <c r="AY182" s="39">
        <f>13636+35164</f>
        <v>48800</v>
      </c>
      <c r="AZ182" s="39">
        <f t="shared" si="205"/>
        <v>-2011</v>
      </c>
      <c r="BA182" s="39">
        <f t="shared" si="206"/>
        <v>10002.139716741862</v>
      </c>
      <c r="BB182" s="39">
        <f t="shared" si="207"/>
        <v>35399.08898</v>
      </c>
      <c r="BC182" s="58">
        <f t="shared" si="208"/>
        <v>-0.28375604116827713</v>
      </c>
      <c r="BD182" s="291">
        <v>731.86599999999999</v>
      </c>
      <c r="BE182" s="51">
        <f t="shared" si="209"/>
        <v>1.4997254098360656E-2</v>
      </c>
      <c r="BI182" s="219">
        <v>44577</v>
      </c>
      <c r="BJ182" s="39">
        <f t="shared" si="213"/>
        <v>-4223</v>
      </c>
      <c r="BK182" s="65">
        <f t="shared" si="214"/>
        <v>44577</v>
      </c>
      <c r="BL182" s="568">
        <f>'FY 2013 by Agency'!AS182*Inflator!$E$13</f>
        <v>38791.419699127255</v>
      </c>
      <c r="BM182" s="52">
        <f t="shared" si="215"/>
        <v>-10631.808997614608</v>
      </c>
      <c r="BN182" s="51">
        <f t="shared" si="210"/>
        <v>-0.21511765374234829</v>
      </c>
      <c r="BO182" s="52">
        <f>'FY 2013 by Agency'!AX182*Inflator!$E$13</f>
        <v>46222.961855355519</v>
      </c>
      <c r="BP182" s="52">
        <f t="shared" si="171"/>
        <v>-3200.266841386343</v>
      </c>
      <c r="BQ182" s="51">
        <f t="shared" si="172"/>
        <v>-6.4752281989163427E-2</v>
      </c>
      <c r="BR182" s="52">
        <f>'FY 2013 by Agency'!BE182*Inflator!$E$14</f>
        <v>51321.062406688565</v>
      </c>
      <c r="BS182" s="52">
        <f t="shared" si="173"/>
        <v>5098.1005513330456</v>
      </c>
      <c r="BT182" s="51">
        <f t="shared" si="174"/>
        <v>0.11029367973619729</v>
      </c>
      <c r="BU182" s="52">
        <f>'FY 2013 by Agency'!BL182*Inflator!$E$14</f>
        <v>51321.062406688565</v>
      </c>
      <c r="BV182" s="52">
        <f t="shared" si="216"/>
        <v>12529.64270756131</v>
      </c>
      <c r="BW182" s="487">
        <v>65433</v>
      </c>
      <c r="BX182" s="39">
        <f>'FY 2013 by Agency'!BW182*Inflator!E15</f>
        <v>65433</v>
      </c>
      <c r="BY182" s="595">
        <v>65433</v>
      </c>
      <c r="BZ182" s="39">
        <f t="shared" si="148"/>
        <v>14111.937593311435</v>
      </c>
      <c r="CA182" s="51">
        <f t="shared" si="149"/>
        <v>0.27497360599207427</v>
      </c>
      <c r="CC182" s="39"/>
    </row>
    <row r="183" spans="1:81" ht="18" customHeight="1">
      <c r="A183" s="57" t="s">
        <v>32</v>
      </c>
      <c r="B183" s="322">
        <f>'FY 2013 by Agency'!B183*Inflator!$E$2</f>
        <v>795.30542264752796</v>
      </c>
      <c r="C183" s="322">
        <f>'FY 2013 by Agency'!C183*Inflator!$E$3</f>
        <v>1010.9969088098919</v>
      </c>
      <c r="D183" s="322">
        <f t="shared" si="150"/>
        <v>215.69148616236396</v>
      </c>
      <c r="E183" s="351">
        <f t="shared" si="151"/>
        <v>0.27120585377670237</v>
      </c>
      <c r="F183" s="10">
        <f>'FY 2013 by Agency'!F183*Inflator!$E$4</f>
        <v>1237.8705748001523</v>
      </c>
      <c r="G183" s="10">
        <f t="shared" si="152"/>
        <v>226.87366599026041</v>
      </c>
      <c r="H183" s="14">
        <f t="shared" si="153"/>
        <v>0.22440589482842996</v>
      </c>
      <c r="I183" s="10">
        <f>'FY 2013 by Agency'!I183*Inflator!$E$5</f>
        <v>1373.605801413165</v>
      </c>
      <c r="J183" s="10">
        <f t="shared" si="154"/>
        <v>135.73522661301263</v>
      </c>
      <c r="K183" s="14">
        <f t="shared" si="155"/>
        <v>0.1096521957757388</v>
      </c>
      <c r="L183" s="10">
        <f>'FY 2013 by Agency'!L183*Inflator!$E$6</f>
        <v>1508.1635768811338</v>
      </c>
      <c r="M183" s="10">
        <f t="shared" si="156"/>
        <v>134.5577754679689</v>
      </c>
      <c r="N183" s="14">
        <f t="shared" si="157"/>
        <v>9.7959527638523308E-2</v>
      </c>
      <c r="O183" s="10">
        <f>'FY 2013 by Agency'!O183*Inflator!$E$7</f>
        <v>1438.8574445617739</v>
      </c>
      <c r="P183" s="52">
        <f t="shared" si="211"/>
        <v>-69.306132319359904</v>
      </c>
      <c r="Q183" s="58">
        <f>P183/L183</f>
        <v>-4.5953988931813516E-2</v>
      </c>
      <c r="R183" s="52">
        <f>'FY 2013 by Agency'!R183*Inflator!$E$8</f>
        <v>1325.2892057026477</v>
      </c>
      <c r="S183" s="52">
        <f t="shared" si="194"/>
        <v>-113.56823885912627</v>
      </c>
      <c r="T183" s="58">
        <f>S183/O183</f>
        <v>-7.8929458431314728E-2</v>
      </c>
      <c r="U183" s="52">
        <f>'FY 2013 by Agency'!U183*Inflator!$E$9</f>
        <v>1426.3488063660477</v>
      </c>
      <c r="V183" s="52">
        <f t="shared" si="212"/>
        <v>101.05960066340003</v>
      </c>
      <c r="W183" s="58">
        <f t="shared" si="217"/>
        <v>7.6254752720044838E-2</v>
      </c>
      <c r="X183" s="52">
        <f>'FY 2013 by Agency'!X183*Inflator!$E$10</f>
        <v>1748.0978088281997</v>
      </c>
      <c r="Y183" s="39">
        <f t="shared" si="195"/>
        <v>321.74900246215202</v>
      </c>
      <c r="Z183" s="58">
        <f t="shared" si="196"/>
        <v>0.22557525973038933</v>
      </c>
      <c r="AA183" s="52">
        <f>'FY 2013 by Agency'!AA183*Inflator!$E$11</f>
        <v>2085.9974514176492</v>
      </c>
      <c r="AB183" s="39">
        <f t="shared" si="197"/>
        <v>337.89964258944951</v>
      </c>
      <c r="AC183" s="58">
        <f t="shared" si="198"/>
        <v>0.1932956158877365</v>
      </c>
      <c r="AD183" s="52" t="e">
        <f>'FY 2013 by Agency'!AD183*Inflator!#REF!</f>
        <v>#REF!</v>
      </c>
      <c r="AE183" s="52">
        <f>'FY 2013 by Agency'!AE183*Inflator!$B$8</f>
        <v>0</v>
      </c>
      <c r="AF183" s="52">
        <f>'FY 2013 by Agency'!AF183*Inflator!$E$12</f>
        <v>1643.6441102756894</v>
      </c>
      <c r="AG183" s="52">
        <f t="shared" si="199"/>
        <v>-442.35334114195985</v>
      </c>
      <c r="AH183" s="58">
        <f t="shared" si="200"/>
        <v>-0.21205842837503727</v>
      </c>
      <c r="AI183" s="52">
        <f>'FY 2013 by Agency'!AI183*Inflator!$B$8</f>
        <v>0</v>
      </c>
      <c r="AJ183" s="52">
        <f>'FY 2013 by Agency'!AJ183*Inflator!$B$8</f>
        <v>0</v>
      </c>
      <c r="AK183" s="52">
        <f>'FY 2013 by Agency'!AK183</f>
        <v>1366</v>
      </c>
      <c r="AL183" s="52">
        <f>'FY 2013 by Agency'!AL183</f>
        <v>5</v>
      </c>
      <c r="AM183" s="52">
        <f>'FY 2013 by Agency'!AM183</f>
        <v>1371</v>
      </c>
      <c r="AN183" s="52">
        <f>'FY 2013 by Agency'!AN183</f>
        <v>1097</v>
      </c>
      <c r="AO183" s="52">
        <f>'FY 2013 by Agency'!AO183</f>
        <v>1634</v>
      </c>
      <c r="AP183" s="52">
        <f>'FY 2013 by Agency'!AP183</f>
        <v>0</v>
      </c>
      <c r="AQ183" s="52">
        <f>'FY 2013 by Agency'!AQ183</f>
        <v>0</v>
      </c>
      <c r="AR183" s="52">
        <f>'FY 2013 by Agency'!AR183</f>
        <v>0</v>
      </c>
      <c r="AS183" s="52">
        <f>'FY 2013 by Agency'!AS183</f>
        <v>1414.6360999999999</v>
      </c>
      <c r="AT183" s="52" t="e">
        <f t="shared" si="201"/>
        <v>#REF!</v>
      </c>
      <c r="AU183" s="58" t="e">
        <f t="shared" si="202"/>
        <v>#REF!</v>
      </c>
      <c r="AV183" s="52">
        <f t="shared" si="203"/>
        <v>-229.00801027568946</v>
      </c>
      <c r="AW183" s="58">
        <f t="shared" si="204"/>
        <v>-0.13932943807238041</v>
      </c>
      <c r="AX183" s="39">
        <f>1097+537</f>
        <v>1634</v>
      </c>
      <c r="AY183" s="39">
        <f>1097+537</f>
        <v>1634</v>
      </c>
      <c r="AZ183" s="39">
        <f t="shared" si="205"/>
        <v>0</v>
      </c>
      <c r="BA183" s="39">
        <f t="shared" si="206"/>
        <v>229.00801027568946</v>
      </c>
      <c r="BB183" s="39">
        <f t="shared" si="207"/>
        <v>1414.6360999999999</v>
      </c>
      <c r="BC183" s="58">
        <f t="shared" si="208"/>
        <v>-0.13932943807238041</v>
      </c>
      <c r="BD183" s="291">
        <v>1.841</v>
      </c>
      <c r="BE183" s="51">
        <f t="shared" si="209"/>
        <v>1.1266829865361077E-3</v>
      </c>
      <c r="BI183" s="219">
        <v>1590</v>
      </c>
      <c r="BJ183" s="39">
        <f t="shared" si="213"/>
        <v>-44</v>
      </c>
      <c r="BK183" s="65">
        <f t="shared" si="214"/>
        <v>1590</v>
      </c>
      <c r="BL183" s="568">
        <f>'FY 2013 by Agency'!AS183*Inflator!$E$13</f>
        <v>1466.8701458040894</v>
      </c>
      <c r="BM183" s="52">
        <f t="shared" si="215"/>
        <v>-176.77396447160004</v>
      </c>
      <c r="BN183" s="51">
        <f t="shared" si="210"/>
        <v>-0.10755002458649618</v>
      </c>
      <c r="BO183" s="52">
        <f>'FY 2013 by Agency'!AX183*Inflator!$E$13</f>
        <v>1648.709185230394</v>
      </c>
      <c r="BP183" s="52">
        <f t="shared" si="171"/>
        <v>5.0650749547046416</v>
      </c>
      <c r="BQ183" s="51">
        <f t="shared" si="172"/>
        <v>3.0816129373986401E-3</v>
      </c>
      <c r="BR183" s="52">
        <f>'FY 2013 by Agency'!BE183*Inflator!$E$14</f>
        <v>1603.1173484622277</v>
      </c>
      <c r="BS183" s="52">
        <f t="shared" si="173"/>
        <v>-45.591836768166331</v>
      </c>
      <c r="BT183" s="51">
        <f t="shared" si="174"/>
        <v>-2.7653049535109633E-2</v>
      </c>
      <c r="BU183" s="52">
        <f>'FY 2013 by Agency'!BL183*Inflator!$E$14</f>
        <v>1603.1173484622277</v>
      </c>
      <c r="BV183" s="52">
        <f t="shared" si="216"/>
        <v>136.24720265813835</v>
      </c>
      <c r="BW183" s="487">
        <v>1607</v>
      </c>
      <c r="BX183" s="39">
        <f>'FY 2013 by Agency'!BW183*Inflator!E15</f>
        <v>1607</v>
      </c>
      <c r="BY183" s="595">
        <v>1607</v>
      </c>
      <c r="BZ183" s="39">
        <f t="shared" si="148"/>
        <v>3.8826515377722899</v>
      </c>
      <c r="CA183" s="51">
        <f t="shared" si="149"/>
        <v>2.4219384448036069E-3</v>
      </c>
      <c r="CC183" s="39"/>
    </row>
    <row r="184" spans="1:81" ht="18" customHeight="1">
      <c r="A184" s="57" t="s">
        <v>33</v>
      </c>
      <c r="B184" s="322">
        <f>'FY 2013 by Agency'!B184*Inflator!$E$2</f>
        <v>109.74401913875599</v>
      </c>
      <c r="C184" s="322">
        <f>'FY 2013 by Agency'!C184*Inflator!$E$3</f>
        <v>107.66460587326121</v>
      </c>
      <c r="D184" s="322">
        <f t="shared" si="150"/>
        <v>-2.0794132654947788</v>
      </c>
      <c r="E184" s="351">
        <f t="shared" si="151"/>
        <v>-1.8947850477989612E-2</v>
      </c>
      <c r="F184" s="10">
        <f>'FY 2013 by Agency'!F184*Inflator!$E$4</f>
        <v>107.35972592310621</v>
      </c>
      <c r="G184" s="10">
        <f t="shared" si="152"/>
        <v>-0.30487995015499791</v>
      </c>
      <c r="H184" s="14">
        <f t="shared" si="153"/>
        <v>-2.8317565246455396E-3</v>
      </c>
      <c r="I184" s="10">
        <f>'FY 2013 by Agency'!I184*Inflator!$E$5</f>
        <v>113.73001115656379</v>
      </c>
      <c r="J184" s="10">
        <f t="shared" si="154"/>
        <v>6.3702852334575795</v>
      </c>
      <c r="K184" s="14">
        <f t="shared" si="155"/>
        <v>5.9335893219587217E-2</v>
      </c>
      <c r="L184" s="10">
        <f>'FY 2013 by Agency'!L184*Inflator!$E$6</f>
        <v>113.63722282806251</v>
      </c>
      <c r="M184" s="10">
        <f t="shared" si="156"/>
        <v>-9.2788328501285378E-2</v>
      </c>
      <c r="N184" s="14">
        <f t="shared" si="157"/>
        <v>-8.15864938002604E-4</v>
      </c>
      <c r="O184" s="10">
        <f>'FY 2013 by Agency'!O184*Inflator!$E$7</f>
        <v>113.62548398451248</v>
      </c>
      <c r="P184" s="52">
        <f t="shared" si="211"/>
        <v>-1.1738843550020306E-2</v>
      </c>
      <c r="Q184" s="58">
        <f>P184/L184</f>
        <v>-1.0330104219267685E-4</v>
      </c>
      <c r="R184" s="52">
        <f>'FY 2013 by Agency'!R184*Inflator!$E$8</f>
        <v>126.87712152070603</v>
      </c>
      <c r="S184" s="52">
        <f t="shared" si="194"/>
        <v>13.251637536193542</v>
      </c>
      <c r="T184" s="58">
        <f>S184/O184</f>
        <v>0.11662557616036014</v>
      </c>
      <c r="U184" s="52">
        <f>'FY 2013 by Agency'!U184*Inflator!$E$9</f>
        <v>123.93236074270557</v>
      </c>
      <c r="V184" s="52">
        <f t="shared" si="212"/>
        <v>-2.9447607780004574</v>
      </c>
      <c r="W184" s="58">
        <f t="shared" si="217"/>
        <v>-2.3209549071617926E-2</v>
      </c>
      <c r="X184" s="52">
        <f>'FY 2013 by Agency'!X184*Inflator!$E$10</f>
        <v>121.93521752937441</v>
      </c>
      <c r="Y184" s="39">
        <f t="shared" si="195"/>
        <v>-1.9971432133311566</v>
      </c>
      <c r="Z184" s="58">
        <f t="shared" si="196"/>
        <v>-1.6114783914085207E-2</v>
      </c>
      <c r="AA184" s="52">
        <f>'FY 2013 by Agency'!AA184*Inflator!$E$11</f>
        <v>122.32366995858555</v>
      </c>
      <c r="AB184" s="39">
        <f t="shared" si="197"/>
        <v>0.3884524292111422</v>
      </c>
      <c r="AC184" s="58">
        <f t="shared" si="198"/>
        <v>3.1857279388341053E-3</v>
      </c>
      <c r="AD184" s="52" t="e">
        <f>'FY 2013 by Agency'!AD184*Inflator!#REF!</f>
        <v>#REF!</v>
      </c>
      <c r="AE184" s="52">
        <f>'FY 2013 by Agency'!AE184*Inflator!$B$8</f>
        <v>0</v>
      </c>
      <c r="AF184" s="52">
        <f>'FY 2013 by Agency'!AF184*Inflator!$E$12</f>
        <v>130.93796992481205</v>
      </c>
      <c r="AG184" s="52">
        <f t="shared" si="199"/>
        <v>8.614299966226497</v>
      </c>
      <c r="AH184" s="58">
        <f t="shared" si="200"/>
        <v>7.0422183778029168E-2</v>
      </c>
      <c r="AI184" s="52">
        <f>'FY 2013 by Agency'!AI184*Inflator!$B$8</f>
        <v>0</v>
      </c>
      <c r="AJ184" s="52">
        <f>'FY 2013 by Agency'!AJ184*Inflator!$B$8</f>
        <v>0</v>
      </c>
      <c r="AK184" s="52">
        <f>'FY 2013 by Agency'!AK184</f>
        <v>126</v>
      </c>
      <c r="AL184" s="52">
        <f>'FY 2013 by Agency'!AL184</f>
        <v>0</v>
      </c>
      <c r="AM184" s="52">
        <f>'FY 2013 by Agency'!AM184</f>
        <v>126</v>
      </c>
      <c r="AN184" s="52">
        <f>'FY 2013 by Agency'!AN184</f>
        <v>123</v>
      </c>
      <c r="AO184" s="52">
        <f>'FY 2013 by Agency'!AO184</f>
        <v>0</v>
      </c>
      <c r="AP184" s="52">
        <f>'FY 2013 by Agency'!AP184</f>
        <v>0</v>
      </c>
      <c r="AQ184" s="52">
        <f>'FY 2013 by Agency'!AQ184</f>
        <v>0</v>
      </c>
      <c r="AR184" s="52">
        <f>'FY 2013 by Agency'!AR184</f>
        <v>0</v>
      </c>
      <c r="AS184" s="52">
        <f>'FY 2013 by Agency'!AS184</f>
        <v>123</v>
      </c>
      <c r="AT184" s="52" t="e">
        <f t="shared" si="201"/>
        <v>#REF!</v>
      </c>
      <c r="AU184" s="58" t="e">
        <f t="shared" si="202"/>
        <v>#REF!</v>
      </c>
      <c r="AV184" s="52">
        <f t="shared" si="203"/>
        <v>-7.9379699248120517</v>
      </c>
      <c r="AW184" s="58">
        <f t="shared" si="204"/>
        <v>-6.0623896409652892E-2</v>
      </c>
      <c r="AX184" s="39">
        <f>123</f>
        <v>123</v>
      </c>
      <c r="AY184" s="39">
        <f>123</f>
        <v>123</v>
      </c>
      <c r="AZ184" s="39">
        <f t="shared" si="205"/>
        <v>123</v>
      </c>
      <c r="BA184" s="39">
        <f t="shared" si="206"/>
        <v>130.93796992481205</v>
      </c>
      <c r="BB184" s="39">
        <f t="shared" si="207"/>
        <v>246</v>
      </c>
      <c r="BC184" s="58">
        <f t="shared" si="208"/>
        <v>0.87875220718069413</v>
      </c>
      <c r="BD184" s="291">
        <v>0</v>
      </c>
      <c r="BE184" s="51">
        <f t="shared" si="209"/>
        <v>0</v>
      </c>
      <c r="BI184" s="219">
        <v>123</v>
      </c>
      <c r="BJ184" s="39">
        <f t="shared" si="213"/>
        <v>0</v>
      </c>
      <c r="BK184" s="65">
        <f t="shared" si="214"/>
        <v>123</v>
      </c>
      <c r="BL184" s="568">
        <f>'FY 2013 by Agency'!AS184*Inflator!$E$13</f>
        <v>127.54165395178519</v>
      </c>
      <c r="BM184" s="52">
        <f t="shared" si="215"/>
        <v>-3.3963159730268586</v>
      </c>
      <c r="BN184" s="51">
        <f t="shared" si="210"/>
        <v>-2.5938358254501047E-2</v>
      </c>
      <c r="BO184" s="52">
        <f>'FY 2013 by Agency'!AX184*Inflator!$E$13</f>
        <v>127.54165395178519</v>
      </c>
      <c r="BP184" s="52">
        <f t="shared" si="171"/>
        <v>-3.3963159730268586</v>
      </c>
      <c r="BQ184" s="51">
        <f t="shared" si="172"/>
        <v>-2.5938358254501047E-2</v>
      </c>
      <c r="BR184" s="52">
        <f>'FY 2013 by Agency'!BE184*Inflator!$E$14</f>
        <v>127.84353538369663</v>
      </c>
      <c r="BS184" s="52">
        <f t="shared" si="173"/>
        <v>0.30188143191143979</v>
      </c>
      <c r="BT184" s="51">
        <f t="shared" si="174"/>
        <v>2.3669242365757666E-3</v>
      </c>
      <c r="BU184" s="52">
        <f>'FY 2013 by Agency'!BL184*Inflator!$E$14</f>
        <v>127.84353538369663</v>
      </c>
      <c r="BV184" s="52">
        <f t="shared" si="216"/>
        <v>0.30188143191143979</v>
      </c>
      <c r="BW184" s="39">
        <v>126</v>
      </c>
      <c r="BX184" s="39">
        <f>'FY 2013 by Agency'!BW184*Inflator!E15</f>
        <v>126</v>
      </c>
      <c r="BY184" s="534">
        <v>126</v>
      </c>
      <c r="BZ184" s="39">
        <f t="shared" si="148"/>
        <v>-1.8435353836966328</v>
      </c>
      <c r="CA184" s="51">
        <f t="shared" si="149"/>
        <v>-1.4420247204237841E-2</v>
      </c>
      <c r="CC184" s="39"/>
    </row>
    <row r="185" spans="1:81" ht="18" customHeight="1">
      <c r="A185" s="57" t="s">
        <v>34</v>
      </c>
      <c r="B185" s="322">
        <f>'FY 2013 by Agency'!B185*Inflator!$E$2</f>
        <v>183626.13157894739</v>
      </c>
      <c r="C185" s="322">
        <f>'FY 2013 by Agency'!C185*Inflator!$E$3</f>
        <v>214112.0765069552</v>
      </c>
      <c r="D185" s="322">
        <f t="shared" si="150"/>
        <v>30485.944928007812</v>
      </c>
      <c r="E185" s="351">
        <f t="shared" si="151"/>
        <v>0.16602182198071749</v>
      </c>
      <c r="F185" s="10">
        <f>'FY 2013 by Agency'!F185*Inflator!$E$4</f>
        <v>192074.31062047963</v>
      </c>
      <c r="G185" s="10">
        <f t="shared" si="152"/>
        <v>-22037.765886475565</v>
      </c>
      <c r="H185" s="14">
        <f t="shared" si="153"/>
        <v>-0.10292630965054272</v>
      </c>
      <c r="I185" s="10">
        <f>'FY 2013 by Agency'!I185*Inflator!$E$5</f>
        <v>195275.69282261067</v>
      </c>
      <c r="J185" s="10">
        <f t="shared" si="154"/>
        <v>3201.3822021310334</v>
      </c>
      <c r="K185" s="14">
        <f t="shared" si="155"/>
        <v>1.6667414771862211E-2</v>
      </c>
      <c r="L185" s="10">
        <f>'FY 2013 by Agency'!L185*Inflator!$E$6</f>
        <v>196545.45837877132</v>
      </c>
      <c r="M185" s="10">
        <f t="shared" si="156"/>
        <v>1269.7655561606516</v>
      </c>
      <c r="N185" s="14">
        <f t="shared" si="157"/>
        <v>6.5024250474129026E-3</v>
      </c>
      <c r="O185" s="10">
        <f>'FY 2013 by Agency'!O185*Inflator!$E$7</f>
        <v>197711.93030623018</v>
      </c>
      <c r="P185" s="52">
        <f t="shared" si="211"/>
        <v>1166.471927458857</v>
      </c>
      <c r="Q185" s="58">
        <f>P185/L185</f>
        <v>5.9348709305248768E-3</v>
      </c>
      <c r="R185" s="52">
        <f>'FY 2013 by Agency'!R185*Inflator!$E$8</f>
        <v>216400.46503733876</v>
      </c>
      <c r="S185" s="52">
        <f t="shared" si="194"/>
        <v>18688.534731108579</v>
      </c>
      <c r="T185" s="58">
        <f>S185/O185</f>
        <v>9.4524061861934475E-2</v>
      </c>
      <c r="U185" s="52">
        <f>'FY 2013 by Agency'!U185*Inflator!$E$9</f>
        <v>223623.55172413791</v>
      </c>
      <c r="V185" s="52">
        <f t="shared" si="212"/>
        <v>7223.0866867991572</v>
      </c>
      <c r="W185" s="58">
        <f t="shared" si="217"/>
        <v>3.3378332553734819E-2</v>
      </c>
      <c r="X185" s="52">
        <f>'FY 2013 by Agency'!X185*Inflator!$E$10</f>
        <v>231898.12321371867</v>
      </c>
      <c r="Y185" s="39">
        <f t="shared" si="195"/>
        <v>8274.5714895807614</v>
      </c>
      <c r="Z185" s="58">
        <f t="shared" si="196"/>
        <v>3.7002236239357632E-2</v>
      </c>
      <c r="AA185" s="52">
        <f>'FY 2013 by Agency'!AA185*Inflator!$E$11</f>
        <v>249517.55399808861</v>
      </c>
      <c r="AB185" s="39">
        <f t="shared" si="197"/>
        <v>17619.430784369935</v>
      </c>
      <c r="AC185" s="58">
        <f t="shared" si="198"/>
        <v>7.5979186636761883E-2</v>
      </c>
      <c r="AD185" s="52" t="e">
        <f>'FY 2013 by Agency'!AD185*Inflator!#REF!</f>
        <v>#REF!</v>
      </c>
      <c r="AE185" s="52">
        <f>'FY 2013 by Agency'!AE185*Inflator!$B$8</f>
        <v>0</v>
      </c>
      <c r="AF185" s="52">
        <f>'FY 2013 by Agency'!AF185*Inflator!$E$12</f>
        <v>259393.44110275691</v>
      </c>
      <c r="AG185" s="52">
        <f t="shared" si="199"/>
        <v>9875.8871046683053</v>
      </c>
      <c r="AH185" s="58">
        <f t="shared" si="200"/>
        <v>3.9579929132937709E-2</v>
      </c>
      <c r="AI185" s="52">
        <f>'FY 2013 by Agency'!AI185*Inflator!$B$8</f>
        <v>0</v>
      </c>
      <c r="AJ185" s="52">
        <f>'FY 2013 by Agency'!AJ185*Inflator!$B$8</f>
        <v>0</v>
      </c>
      <c r="AK185" s="52">
        <f>'FY 2013 by Agency'!AK185</f>
        <v>237998</v>
      </c>
      <c r="AL185" s="52">
        <f>'FY 2013 by Agency'!AL185</f>
        <v>0</v>
      </c>
      <c r="AM185" s="52">
        <f>'FY 2013 by Agency'!AM185</f>
        <v>237998</v>
      </c>
      <c r="AN185" s="52">
        <f>'FY 2013 by Agency'!AN185</f>
        <v>233268</v>
      </c>
      <c r="AO185" s="52">
        <f>'FY 2013 by Agency'!AO185</f>
        <v>245268</v>
      </c>
      <c r="AP185" s="52">
        <f>'FY 2013 by Agency'!AP185</f>
        <v>0</v>
      </c>
      <c r="AQ185" s="52">
        <f>'FY 2013 by Agency'!AQ185</f>
        <v>0</v>
      </c>
      <c r="AR185" s="52">
        <f>'FY 2013 by Agency'!AR185</f>
        <v>0</v>
      </c>
      <c r="AS185" s="52">
        <f>'FY 2013 by Agency'!AS185</f>
        <v>0</v>
      </c>
      <c r="AT185" s="52" t="e">
        <f t="shared" si="201"/>
        <v>#REF!</v>
      </c>
      <c r="AU185" s="58" t="e">
        <f t="shared" si="202"/>
        <v>#REF!</v>
      </c>
      <c r="AV185" s="52">
        <f t="shared" si="203"/>
        <v>-259393.44110275691</v>
      </c>
      <c r="AW185" s="58">
        <f t="shared" si="204"/>
        <v>-1</v>
      </c>
      <c r="AX185" s="39">
        <f>246268+12000</f>
        <v>258268</v>
      </c>
      <c r="AY185" s="39">
        <f>246268+12000</f>
        <v>258268</v>
      </c>
      <c r="AZ185" s="39">
        <f t="shared" si="205"/>
        <v>13000</v>
      </c>
      <c r="BA185" s="39">
        <f t="shared" si="206"/>
        <v>272393.44110275689</v>
      </c>
      <c r="BB185" s="39">
        <f t="shared" si="207"/>
        <v>13000</v>
      </c>
      <c r="BC185" s="58">
        <f t="shared" si="208"/>
        <v>-0.94988308129637655</v>
      </c>
      <c r="BD185" s="291">
        <v>0</v>
      </c>
      <c r="BE185" s="51">
        <f t="shared" si="209"/>
        <v>0</v>
      </c>
      <c r="BI185" s="219">
        <v>257703</v>
      </c>
      <c r="BJ185" s="39">
        <f t="shared" si="213"/>
        <v>-565</v>
      </c>
      <c r="BK185" s="65">
        <f t="shared" si="214"/>
        <v>257703</v>
      </c>
      <c r="BL185" s="568">
        <f>'FY 2013 by Agency'!AS185*Inflator!$E$13</f>
        <v>0</v>
      </c>
      <c r="BM185" s="52">
        <f t="shared" si="215"/>
        <v>-259393.44110275691</v>
      </c>
      <c r="BN185" s="51">
        <f t="shared" si="210"/>
        <v>-1</v>
      </c>
      <c r="BO185" s="52">
        <f>'FY 2013 by Agency'!AX185*Inflator!$E$13</f>
        <v>267218.42966127559</v>
      </c>
      <c r="BP185" s="52">
        <f t="shared" si="171"/>
        <v>7824.9885585186712</v>
      </c>
      <c r="BQ185" s="51">
        <f t="shared" si="172"/>
        <v>3.0166485803389518E-2</v>
      </c>
      <c r="BR185" s="52">
        <f>'FY 2013 by Agency'!BE185*Inflator!$E$14</f>
        <v>221278.89638698121</v>
      </c>
      <c r="BS185" s="52">
        <f t="shared" si="173"/>
        <v>-45939.533274294372</v>
      </c>
      <c r="BT185" s="51">
        <f t="shared" si="174"/>
        <v>-0.17191753327989778</v>
      </c>
      <c r="BU185" s="52">
        <f>'FY 2013 by Agency'!BL185*Inflator!$E$14</f>
        <v>221278.89638698121</v>
      </c>
      <c r="BV185" s="52">
        <f t="shared" si="216"/>
        <v>221278.89638698121</v>
      </c>
      <c r="BW185" s="534">
        <f>288224-50600</f>
        <v>237624</v>
      </c>
      <c r="BX185" s="39">
        <f>'FY 2013 by Agency'!BW185*Inflator!E15</f>
        <v>237624</v>
      </c>
      <c r="BY185" s="534">
        <f>286937-50600</f>
        <v>236337</v>
      </c>
      <c r="BZ185" s="39">
        <f t="shared" si="148"/>
        <v>16345.103613018786</v>
      </c>
      <c r="CA185" s="51">
        <f t="shared" si="149"/>
        <v>7.3866527174077309E-2</v>
      </c>
      <c r="CC185" s="39"/>
    </row>
    <row r="186" spans="1:81" ht="18" customHeight="1">
      <c r="A186" s="620" t="s">
        <v>420</v>
      </c>
      <c r="B186" s="322"/>
      <c r="C186" s="322"/>
      <c r="D186" s="322"/>
      <c r="E186" s="351"/>
      <c r="F186" s="10"/>
      <c r="G186" s="10"/>
      <c r="H186" s="14"/>
      <c r="I186" s="10"/>
      <c r="J186" s="10"/>
      <c r="K186" s="14"/>
      <c r="L186" s="10"/>
      <c r="M186" s="10"/>
      <c r="N186" s="14"/>
      <c r="O186" s="10"/>
      <c r="P186" s="52"/>
      <c r="Q186" s="58"/>
      <c r="R186" s="52"/>
      <c r="S186" s="52"/>
      <c r="T186" s="58"/>
      <c r="U186" s="52"/>
      <c r="V186" s="52"/>
      <c r="W186" s="58"/>
      <c r="X186" s="52"/>
      <c r="Y186" s="39"/>
      <c r="Z186" s="58"/>
      <c r="AA186" s="52"/>
      <c r="AB186" s="39"/>
      <c r="AC186" s="58"/>
      <c r="AD186" s="52"/>
      <c r="AE186" s="52"/>
      <c r="AF186" s="52"/>
      <c r="AG186" s="52"/>
      <c r="AH186" s="58"/>
      <c r="AI186" s="52"/>
      <c r="AJ186" s="52"/>
      <c r="AK186" s="52"/>
      <c r="AL186" s="52"/>
      <c r="AM186" s="52"/>
      <c r="AO186" s="52"/>
      <c r="AU186" s="58"/>
      <c r="AV186" s="52"/>
      <c r="AW186" s="58"/>
      <c r="AX186" s="39"/>
      <c r="AY186" s="39"/>
      <c r="AZ186" s="39"/>
      <c r="BA186" s="39"/>
      <c r="BB186" s="39"/>
      <c r="BC186" s="58"/>
      <c r="BD186" s="291"/>
      <c r="BE186" s="51"/>
      <c r="BI186" s="219"/>
      <c r="BJ186" s="39"/>
      <c r="BK186" s="65"/>
      <c r="BL186" s="568"/>
      <c r="BN186" s="51"/>
      <c r="BO186" s="52"/>
      <c r="BP186" s="52"/>
      <c r="BQ186" s="51"/>
      <c r="BR186" s="52"/>
      <c r="BS186" s="52"/>
      <c r="BT186" s="51"/>
      <c r="BW186" s="39"/>
      <c r="BX186" s="39">
        <f>'FY 2013 by Agency'!BW186*Inflator!E15</f>
        <v>0</v>
      </c>
      <c r="BY186" s="534"/>
      <c r="BZ186" s="39">
        <f t="shared" si="148"/>
        <v>0</v>
      </c>
      <c r="CA186" s="51" t="e">
        <f t="shared" si="149"/>
        <v>#DIV/0!</v>
      </c>
      <c r="CC186" s="39"/>
    </row>
    <row r="187" spans="1:81" s="63" customFormat="1" ht="18" customHeight="1" thickBot="1">
      <c r="A187" s="82" t="s">
        <v>35</v>
      </c>
      <c r="B187" s="328">
        <f>'FY 2013 by Agency'!B187*Inflator!$E$2</f>
        <v>4132.3365231259968</v>
      </c>
      <c r="C187" s="328">
        <f>'FY 2013 by Agency'!C187*Inflator!$E$3</f>
        <v>3903.4984544049462</v>
      </c>
      <c r="D187" s="328">
        <f t="shared" si="150"/>
        <v>-228.8380687210506</v>
      </c>
      <c r="E187" s="486">
        <f t="shared" si="151"/>
        <v>-5.5377403907061522E-2</v>
      </c>
      <c r="F187" s="350">
        <f>'FY 2013 by Agency'!F187*Inflator!$E$4</f>
        <v>3743.362009897221</v>
      </c>
      <c r="G187" s="350">
        <f t="shared" si="152"/>
        <v>-160.13644450772517</v>
      </c>
      <c r="H187" s="16">
        <f t="shared" si="153"/>
        <v>-4.102382680003816E-2</v>
      </c>
      <c r="I187" s="350">
        <f>'FY 2013 by Agency'!I187*Inflator!$E$5</f>
        <v>4805.7248047601342</v>
      </c>
      <c r="J187" s="350">
        <f t="shared" si="154"/>
        <v>1062.3627948629132</v>
      </c>
      <c r="K187" s="16">
        <f t="shared" si="155"/>
        <v>0.2837991068066863</v>
      </c>
      <c r="L187" s="350">
        <f>'FY 2013 by Agency'!L187*Inflator!$E$6</f>
        <v>5322.4216648491456</v>
      </c>
      <c r="M187" s="350">
        <f t="shared" si="156"/>
        <v>516.69686008901135</v>
      </c>
      <c r="N187" s="16">
        <f t="shared" si="157"/>
        <v>0.10751694719956004</v>
      </c>
      <c r="O187" s="350">
        <f>'FY 2013 by Agency'!O187*Inflator!$E$7</f>
        <v>5570.0408306934169</v>
      </c>
      <c r="P187" s="75">
        <f t="shared" si="211"/>
        <v>247.61916584427127</v>
      </c>
      <c r="Q187" s="77">
        <f>P187/L187</f>
        <v>4.6523778354432499E-2</v>
      </c>
      <c r="R187" s="75">
        <f>'FY 2013 by Agency'!R187*Inflator!$E$8</f>
        <v>5962.0712830957227</v>
      </c>
      <c r="S187" s="75">
        <f t="shared" si="194"/>
        <v>392.03045240230585</v>
      </c>
      <c r="T187" s="77">
        <f>S187/O187</f>
        <v>7.0381971033684834E-2</v>
      </c>
      <c r="U187" s="75">
        <f>'FY 2013 by Agency'!U187*Inflator!$E$9</f>
        <v>5736.9416445623337</v>
      </c>
      <c r="V187" s="75">
        <f t="shared" si="212"/>
        <v>-225.12963853338897</v>
      </c>
      <c r="W187" s="77">
        <f t="shared" si="217"/>
        <v>-3.7760306417620279E-2</v>
      </c>
      <c r="X187" s="75">
        <f>'FY 2013 by Agency'!X187*Inflator!$E$10</f>
        <v>5848.5741505239766</v>
      </c>
      <c r="Y187" s="102">
        <f t="shared" si="195"/>
        <v>111.63250596164289</v>
      </c>
      <c r="Z187" s="77">
        <f t="shared" si="196"/>
        <v>1.9458539563053066E-2</v>
      </c>
      <c r="AA187" s="75">
        <f>'FY 2013 by Agency'!AA187*Inflator!$E$11</f>
        <v>8515.0264415418933</v>
      </c>
      <c r="AB187" s="102">
        <f t="shared" si="197"/>
        <v>2666.4522910179167</v>
      </c>
      <c r="AC187" s="77">
        <f t="shared" si="198"/>
        <v>0.45591493283521556</v>
      </c>
      <c r="AD187" s="75" t="e">
        <f>'FY 2013 by Agency'!AD187*Inflator!#REF!</f>
        <v>#REF!</v>
      </c>
      <c r="AE187" s="75">
        <f>'FY 2013 by Agency'!AE187*Inflator!$B$8</f>
        <v>0</v>
      </c>
      <c r="AF187" s="75">
        <f>'FY 2013 by Agency'!AF187*Inflator!$E$12</f>
        <v>6734.2568922305773</v>
      </c>
      <c r="AG187" s="75">
        <f t="shared" si="199"/>
        <v>-1780.769549311316</v>
      </c>
      <c r="AH187" s="77">
        <f t="shared" si="200"/>
        <v>-0.20913259184064917</v>
      </c>
      <c r="AI187" s="75">
        <f>'FY 2013 by Agency'!AI187*Inflator!$B$8</f>
        <v>0</v>
      </c>
      <c r="AJ187" s="75">
        <f>'FY 2013 by Agency'!AJ187*Inflator!$B$8</f>
        <v>0</v>
      </c>
      <c r="AK187" s="75">
        <f>'FY 2013 by Agency'!AK187</f>
        <v>7668</v>
      </c>
      <c r="AL187" s="75">
        <f>'FY 2013 by Agency'!AL187</f>
        <v>0</v>
      </c>
      <c r="AM187" s="75">
        <f>'FY 2013 by Agency'!AM187</f>
        <v>7668</v>
      </c>
      <c r="AN187" s="75">
        <f>'FY 2013 by Agency'!AN187</f>
        <v>6058</v>
      </c>
      <c r="AO187" s="75">
        <f>'FY 2013 by Agency'!AO187</f>
        <v>6058</v>
      </c>
      <c r="AP187" s="75">
        <f>'FY 2013 by Agency'!AP187</f>
        <v>0</v>
      </c>
      <c r="AQ187" s="75">
        <f>'FY 2013 by Agency'!AQ187</f>
        <v>0</v>
      </c>
      <c r="AR187" s="75">
        <f>'FY 2013 by Agency'!AR187</f>
        <v>0</v>
      </c>
      <c r="AS187" s="75">
        <f>'FY 2013 by Agency'!AS187</f>
        <v>6007.3223399999997</v>
      </c>
      <c r="AT187" s="75" t="e">
        <f t="shared" si="201"/>
        <v>#REF!</v>
      </c>
      <c r="AU187" s="77" t="e">
        <f t="shared" si="202"/>
        <v>#REF!</v>
      </c>
      <c r="AV187" s="75">
        <f t="shared" si="203"/>
        <v>-726.93455223057754</v>
      </c>
      <c r="AW187" s="77">
        <f t="shared" si="204"/>
        <v>-0.10794577098317319</v>
      </c>
      <c r="AX187" s="102">
        <f>6058</f>
        <v>6058</v>
      </c>
      <c r="AY187" s="102">
        <f>6058</f>
        <v>6058</v>
      </c>
      <c r="AZ187" s="102">
        <f t="shared" si="205"/>
        <v>0</v>
      </c>
      <c r="BA187" s="102">
        <f t="shared" si="206"/>
        <v>726.93455223057754</v>
      </c>
      <c r="BB187" s="102">
        <f t="shared" si="207"/>
        <v>6007.3223399999997</v>
      </c>
      <c r="BC187" s="77">
        <f t="shared" si="208"/>
        <v>-0.10794577098317315</v>
      </c>
      <c r="BD187" s="386">
        <v>605.79999999999995</v>
      </c>
      <c r="BE187" s="55">
        <f t="shared" si="209"/>
        <v>9.9999999999999992E-2</v>
      </c>
      <c r="BF187" s="54"/>
      <c r="BG187" s="54"/>
      <c r="BH187" s="54"/>
      <c r="BI187" s="94">
        <v>6058</v>
      </c>
      <c r="BJ187" s="102">
        <f t="shared" si="213"/>
        <v>0</v>
      </c>
      <c r="BK187" s="94">
        <f t="shared" si="214"/>
        <v>6058</v>
      </c>
      <c r="BL187" s="570">
        <f>'FY 2013 by Agency'!AS187*Inflator!$E$13</f>
        <v>6229.1368054073855</v>
      </c>
      <c r="BM187" s="52">
        <f t="shared" si="215"/>
        <v>-505.12008682319174</v>
      </c>
      <c r="BN187" s="55">
        <f t="shared" si="210"/>
        <v>-7.5007546475685694E-2</v>
      </c>
      <c r="BO187" s="75">
        <f>'FY 2013 by Agency'!AX187*Inflator!$E$13</f>
        <v>6281.6856881293879</v>
      </c>
      <c r="BP187" s="75">
        <f t="shared" si="171"/>
        <v>-452.57120410118932</v>
      </c>
      <c r="BQ187" s="55">
        <f t="shared" si="172"/>
        <v>-6.7204327269327693E-2</v>
      </c>
      <c r="BR187" s="75">
        <f>'FY 2013 by Agency'!BE187*Inflator!$E$14</f>
        <v>0</v>
      </c>
      <c r="BS187" s="75">
        <f t="shared" si="173"/>
        <v>-6281.6856881293879</v>
      </c>
      <c r="BT187" s="55">
        <f t="shared" si="174"/>
        <v>-1</v>
      </c>
      <c r="BU187" s="75">
        <f>'FY 2013 by Agency'!BL187*Inflator!$E$14</f>
        <v>0</v>
      </c>
      <c r="BV187" s="52">
        <f t="shared" si="216"/>
        <v>-6229.1368054073855</v>
      </c>
      <c r="BW187" s="102">
        <v>0</v>
      </c>
      <c r="BX187" s="39">
        <f>'FY 2013 by Agency'!BW187*Inflator!E15</f>
        <v>0</v>
      </c>
      <c r="BY187" s="535"/>
      <c r="BZ187" s="39">
        <f t="shared" si="148"/>
        <v>0</v>
      </c>
      <c r="CA187" s="51" t="e">
        <f t="shared" si="149"/>
        <v>#DIV/0!</v>
      </c>
      <c r="CC187" s="39"/>
    </row>
    <row r="188" spans="1:81" s="367" customFormat="1" ht="18" customHeight="1">
      <c r="A188" s="85" t="s">
        <v>61</v>
      </c>
      <c r="B188" s="322">
        <f>'FY 2013 by Agency'!B188*Inflator!$E$2</f>
        <v>364290.52950558218</v>
      </c>
      <c r="C188" s="322">
        <f>'FY 2013 by Agency'!C188*Inflator!$E$3</f>
        <v>388467.02782071102</v>
      </c>
      <c r="D188" s="47">
        <f t="shared" si="150"/>
        <v>24176.498315128847</v>
      </c>
      <c r="E188" s="356">
        <f t="shared" si="151"/>
        <v>6.6365980877793801E-2</v>
      </c>
      <c r="F188" s="10">
        <f>'FY 2013 by Agency'!F188*Inflator!$E$4</f>
        <v>398484.3783783784</v>
      </c>
      <c r="G188" s="46">
        <f t="shared" si="152"/>
        <v>10017.350557667378</v>
      </c>
      <c r="H188" s="388">
        <f t="shared" si="153"/>
        <v>2.5786874664406989E-2</v>
      </c>
      <c r="I188" s="10">
        <f>'FY 2013 by Agency'!I188*Inflator!$E$5</f>
        <v>391150.36370397924</v>
      </c>
      <c r="J188" s="46">
        <f t="shared" si="154"/>
        <v>-7334.0146743991645</v>
      </c>
      <c r="K188" s="388">
        <f t="shared" si="155"/>
        <v>-1.8404773367138614E-2</v>
      </c>
      <c r="L188" s="10">
        <f>'FY 2013 by Agency'!L188*Inflator!$E$6</f>
        <v>391056.56343147944</v>
      </c>
      <c r="M188" s="12">
        <f t="shared" si="156"/>
        <v>-93.800272499793209</v>
      </c>
      <c r="N188" s="15">
        <f t="shared" si="157"/>
        <v>-2.3980617482125319E-4</v>
      </c>
      <c r="O188" s="10">
        <f>'FY 2013 by Agency'!O188*Inflator!$E$7</f>
        <v>485124.60190073913</v>
      </c>
      <c r="P188" s="141">
        <f>O188-L188</f>
        <v>94068.038469259685</v>
      </c>
      <c r="Q188" s="389">
        <f>P188/L188</f>
        <v>0.2405484200132654</v>
      </c>
      <c r="R188" s="52">
        <f>'FY 2013 by Agency'!R188*Inflator!$E$8</f>
        <v>423078.68228105904</v>
      </c>
      <c r="S188" s="141">
        <f t="shared" si="194"/>
        <v>-62045.919619680091</v>
      </c>
      <c r="T188" s="389">
        <f>S188/O188</f>
        <v>-0.12789687304371186</v>
      </c>
      <c r="U188" s="52">
        <f>'FY 2013 by Agency'!U188*Inflator!$E$9</f>
        <v>484431.31830238726</v>
      </c>
      <c r="V188" s="141">
        <f t="shared" si="212"/>
        <v>61352.636021328217</v>
      </c>
      <c r="W188" s="389">
        <f t="shared" si="217"/>
        <v>0.14501471851652056</v>
      </c>
      <c r="X188" s="52">
        <f>'FY 2013 by Agency'!X188*Inflator!$E$10</f>
        <v>608356.3817084789</v>
      </c>
      <c r="Y188" s="33">
        <f t="shared" si="195"/>
        <v>123925.06340609165</v>
      </c>
      <c r="Z188" s="389">
        <f t="shared" si="196"/>
        <v>0.25581554850823307</v>
      </c>
      <c r="AA188" s="52">
        <f>'FY 2013 by Agency'!AA188*Inflator!$E$11</f>
        <v>651978.66581713932</v>
      </c>
      <c r="AB188" s="33">
        <f t="shared" si="197"/>
        <v>43622.284108660417</v>
      </c>
      <c r="AC188" s="45">
        <f t="shared" si="198"/>
        <v>7.1705147542224651E-2</v>
      </c>
      <c r="AD188" s="12" t="e">
        <f>'FY 2013 by Agency'!AD188*Inflator!#REF!</f>
        <v>#REF!</v>
      </c>
      <c r="AE188" s="485">
        <f>SUM(AE179:AE187)</f>
        <v>0</v>
      </c>
      <c r="AF188" s="52">
        <f>'FY 2013 by Agency'!AF188*Inflator!$E$12</f>
        <v>596356.45175438607</v>
      </c>
      <c r="AG188" s="46">
        <f t="shared" si="199"/>
        <v>-55622.21406275325</v>
      </c>
      <c r="AH188" s="45">
        <f t="shared" si="200"/>
        <v>-8.5312935804487858E-2</v>
      </c>
      <c r="AI188" s="485">
        <f t="shared" ref="AI188:AS188" si="218">SUM(AI179:AI187)</f>
        <v>0</v>
      </c>
      <c r="AJ188" s="485">
        <f t="shared" si="218"/>
        <v>0</v>
      </c>
      <c r="AK188" s="485">
        <f t="shared" si="218"/>
        <v>413005</v>
      </c>
      <c r="AL188" s="485">
        <f t="shared" si="218"/>
        <v>7540</v>
      </c>
      <c r="AM188" s="485">
        <f t="shared" si="218"/>
        <v>420545</v>
      </c>
      <c r="AN188" s="485">
        <f t="shared" si="218"/>
        <v>373289</v>
      </c>
      <c r="AO188" s="485">
        <f t="shared" si="218"/>
        <v>535860</v>
      </c>
      <c r="AP188" s="485">
        <f t="shared" si="218"/>
        <v>0</v>
      </c>
      <c r="AQ188" s="485">
        <f t="shared" si="218"/>
        <v>0</v>
      </c>
      <c r="AR188" s="485">
        <f t="shared" si="218"/>
        <v>0</v>
      </c>
      <c r="AS188" s="485">
        <f t="shared" si="218"/>
        <v>281135.46693</v>
      </c>
      <c r="AT188" s="46" t="e">
        <f t="shared" si="201"/>
        <v>#REF!</v>
      </c>
      <c r="AU188" s="45" t="e">
        <f t="shared" si="202"/>
        <v>#REF!</v>
      </c>
      <c r="AV188" s="46">
        <f t="shared" si="203"/>
        <v>-315220.98482438608</v>
      </c>
      <c r="AW188" s="45">
        <f t="shared" si="204"/>
        <v>-0.5285781413063545</v>
      </c>
      <c r="AX188" s="33">
        <f>SUM(AX179:AX187)</f>
        <v>552253</v>
      </c>
      <c r="AY188" s="33">
        <f>SUM(AY179:AY187)</f>
        <v>552253</v>
      </c>
      <c r="AZ188" s="90">
        <f>SUM(AZ179:AZ187)</f>
        <v>16393</v>
      </c>
      <c r="BA188" s="45">
        <f t="shared" si="206"/>
        <v>331613.98482438608</v>
      </c>
      <c r="BB188" s="33">
        <f>+AZ188+AS188 +4500</f>
        <v>302028.46693</v>
      </c>
      <c r="BC188" s="45">
        <f t="shared" si="208"/>
        <v>-0.49354372533158619</v>
      </c>
      <c r="BD188" s="33">
        <f>SUM(BD179:BD187)</f>
        <v>5007.8560000000007</v>
      </c>
      <c r="BE188" s="388">
        <f>BD188/AY188</f>
        <v>9.0680467104750917E-3</v>
      </c>
      <c r="BF188" s="388">
        <f>(BB188-X188)/X188</f>
        <v>-0.50353365886982604</v>
      </c>
      <c r="BG188" s="85"/>
      <c r="BH188" s="85"/>
      <c r="BI188" s="392">
        <f>SUM(BI179:BI187)</f>
        <v>540671</v>
      </c>
      <c r="BJ188" s="33">
        <f>BI188-AY188</f>
        <v>-11582</v>
      </c>
      <c r="BK188" s="392">
        <f>SUM(BK179:BK187)</f>
        <v>540671</v>
      </c>
      <c r="BL188" s="565">
        <f>SUM(BL179:BL187)</f>
        <v>291516.11737202934</v>
      </c>
      <c r="BM188" s="52">
        <f>BL188-AF188</f>
        <v>-304840.33438235673</v>
      </c>
      <c r="BN188" s="532">
        <f t="shared" si="210"/>
        <v>-0.51117135311534712</v>
      </c>
      <c r="BO188" s="12">
        <f>'FY 2013 by Agency'!AX188*Inflator!$E$13</f>
        <v>570817.33841928607</v>
      </c>
      <c r="BP188" s="12">
        <f t="shared" si="171"/>
        <v>-25539.113335100003</v>
      </c>
      <c r="BQ188" s="15">
        <f t="shared" si="172"/>
        <v>-4.2825248657858875E-2</v>
      </c>
      <c r="BR188" s="12">
        <f>'FY 2013 by Agency'!BE188*Inflator!$E$14</f>
        <v>538278.1033144223</v>
      </c>
      <c r="BS188" s="12">
        <f t="shared" si="173"/>
        <v>-32539.235104863765</v>
      </c>
      <c r="BT188" s="15">
        <f t="shared" si="174"/>
        <v>-5.7004636886069E-2</v>
      </c>
      <c r="BU188" s="12">
        <f>SUM(BU179:BU187)</f>
        <v>538278.1033144223</v>
      </c>
      <c r="BV188" s="52">
        <f t="shared" si="216"/>
        <v>246761.98594239296</v>
      </c>
      <c r="BW188" s="30">
        <f>SUM(BW179:BW187)</f>
        <v>574847</v>
      </c>
      <c r="BX188" s="12">
        <f>SUM(BX179:BX187)</f>
        <v>574847</v>
      </c>
      <c r="BY188" s="30">
        <f>SUM(BY179:BY187)</f>
        <v>571299</v>
      </c>
      <c r="BZ188" s="39">
        <f t="shared" si="148"/>
        <v>36568.896685577696</v>
      </c>
      <c r="CA188" s="51">
        <f t="shared" si="149"/>
        <v>6.7936808984809929E-2</v>
      </c>
      <c r="CC188" s="39"/>
    </row>
    <row r="189" spans="1:81" s="20" customFormat="1" ht="18" customHeight="1">
      <c r="A189" s="85" t="s">
        <v>244</v>
      </c>
      <c r="B189" s="322"/>
      <c r="C189" s="322"/>
      <c r="D189" s="322"/>
      <c r="E189" s="351"/>
      <c r="F189" s="10"/>
      <c r="G189" s="10"/>
      <c r="H189" s="14"/>
      <c r="I189" s="10"/>
      <c r="J189" s="10"/>
      <c r="K189" s="14"/>
      <c r="L189" s="10"/>
      <c r="M189" s="10"/>
      <c r="N189" s="14"/>
      <c r="O189" s="10"/>
      <c r="P189" s="136"/>
      <c r="Q189" s="137"/>
      <c r="R189" s="52"/>
      <c r="S189" s="136"/>
      <c r="T189" s="137"/>
      <c r="U189" s="52"/>
      <c r="V189" s="136"/>
      <c r="W189" s="137"/>
      <c r="X189" s="52"/>
      <c r="Y189" s="30"/>
      <c r="Z189" s="137"/>
      <c r="AA189" s="52"/>
      <c r="AB189" s="30"/>
      <c r="AC189" s="36"/>
      <c r="AD189" s="52"/>
      <c r="AE189" s="138"/>
      <c r="AF189" s="138"/>
      <c r="AG189" s="52"/>
      <c r="AH189" s="58"/>
      <c r="AI189" s="138"/>
      <c r="AJ189" s="138"/>
      <c r="AK189" s="138"/>
      <c r="AL189" s="138"/>
      <c r="AM189" s="138"/>
      <c r="AN189" s="138"/>
      <c r="AO189" s="138"/>
      <c r="AP189" s="138"/>
      <c r="AQ189" s="138"/>
      <c r="AR189" s="52">
        <f>'FY 2013 by Agency'!AR189</f>
        <v>0</v>
      </c>
      <c r="AS189" s="52">
        <f>'FY 2013 by Agency'!AS189</f>
        <v>0</v>
      </c>
      <c r="AT189" s="12"/>
      <c r="AU189" s="36"/>
      <c r="AV189" s="52"/>
      <c r="AW189" s="36"/>
      <c r="AX189" s="39">
        <v>4500</v>
      </c>
      <c r="AY189" s="58"/>
      <c r="AZ189" s="58"/>
      <c r="BA189" s="58"/>
      <c r="BB189" s="58"/>
      <c r="BC189" s="58"/>
      <c r="BD189" s="280"/>
      <c r="BE189" s="280"/>
      <c r="BI189" s="139"/>
      <c r="BK189" s="318"/>
      <c r="BL189" s="571"/>
      <c r="BM189" s="202"/>
      <c r="BN189" s="218"/>
      <c r="BP189" s="52"/>
      <c r="BQ189" s="50"/>
      <c r="BR189" s="52"/>
      <c r="BS189" s="52"/>
      <c r="BT189" s="50"/>
      <c r="BU189" s="202"/>
      <c r="BV189" s="202"/>
      <c r="BW189" s="39"/>
      <c r="BY189" s="534"/>
      <c r="BZ189" s="39">
        <f t="shared" si="148"/>
        <v>0</v>
      </c>
      <c r="CA189" s="51" t="e">
        <f t="shared" si="149"/>
        <v>#DIV/0!</v>
      </c>
      <c r="CC189" s="39"/>
    </row>
    <row r="190" spans="1:81" s="20" customFormat="1" ht="18" customHeight="1">
      <c r="A190" s="85" t="s">
        <v>245</v>
      </c>
      <c r="B190" s="322"/>
      <c r="C190" s="322"/>
      <c r="D190" s="322"/>
      <c r="E190" s="351"/>
      <c r="F190" s="10"/>
      <c r="G190" s="10"/>
      <c r="H190" s="14"/>
      <c r="I190" s="10"/>
      <c r="J190" s="10"/>
      <c r="K190" s="14"/>
      <c r="L190" s="10"/>
      <c r="M190" s="10"/>
      <c r="N190" s="14"/>
      <c r="O190" s="10"/>
      <c r="P190" s="136"/>
      <c r="Q190" s="137"/>
      <c r="R190" s="52"/>
      <c r="S190" s="136"/>
      <c r="T190" s="137"/>
      <c r="U190" s="52"/>
      <c r="V190" s="136"/>
      <c r="W190" s="137"/>
      <c r="X190" s="52"/>
      <c r="Y190" s="30"/>
      <c r="Z190" s="137"/>
      <c r="AA190" s="52"/>
      <c r="AB190" s="30"/>
      <c r="AC190" s="36"/>
      <c r="AD190" s="52"/>
      <c r="AE190" s="138"/>
      <c r="AF190" s="138"/>
      <c r="AG190" s="52"/>
      <c r="AH190" s="58"/>
      <c r="AI190" s="138"/>
      <c r="AJ190" s="138"/>
      <c r="AK190" s="138"/>
      <c r="AL190" s="138"/>
      <c r="AM190" s="138"/>
      <c r="AN190" s="138"/>
      <c r="AO190" s="138"/>
      <c r="AP190" s="138"/>
      <c r="AQ190" s="138"/>
      <c r="AR190" s="52">
        <f>'FY 2013 by Agency'!AR190</f>
        <v>0</v>
      </c>
      <c r="AS190" s="52">
        <f>'FY 2013 by Agency'!AS190</f>
        <v>0</v>
      </c>
      <c r="AT190" s="52" t="e">
        <f>AR190-AD188</f>
        <v>#REF!</v>
      </c>
      <c r="AU190" s="58" t="e">
        <f>AT190/AD188</f>
        <v>#REF!</v>
      </c>
      <c r="AV190" s="52">
        <f>AS190-AF188</f>
        <v>-596356.45175438607</v>
      </c>
      <c r="AW190" s="58">
        <f>AV190/AF188</f>
        <v>-1</v>
      </c>
      <c r="AX190" s="39">
        <f>SUM(AX188:AX189)</f>
        <v>556753</v>
      </c>
      <c r="AY190" s="58">
        <f>(587-557)/587</f>
        <v>5.1107325383304938E-2</v>
      </c>
      <c r="AZ190" s="58"/>
      <c r="BA190" s="58"/>
      <c r="BB190" s="58"/>
      <c r="BC190" s="58"/>
      <c r="BD190" s="280"/>
      <c r="BE190" s="280"/>
      <c r="BI190" s="139"/>
      <c r="BK190" s="318"/>
      <c r="BL190" s="571"/>
      <c r="BM190" s="202"/>
      <c r="BN190" s="218"/>
      <c r="BP190" s="52"/>
      <c r="BQ190" s="50"/>
      <c r="BR190" s="52"/>
      <c r="BS190" s="52"/>
      <c r="BT190" s="50"/>
      <c r="BU190" s="202"/>
      <c r="BV190" s="202"/>
      <c r="BW190" s="39"/>
      <c r="BX190" s="136"/>
      <c r="BY190" s="534"/>
      <c r="BZ190" s="39">
        <f t="shared" si="148"/>
        <v>0</v>
      </c>
      <c r="CA190" s="51" t="e">
        <f t="shared" si="149"/>
        <v>#DIV/0!</v>
      </c>
      <c r="CC190" s="39"/>
    </row>
    <row r="191" spans="1:81" ht="18" customHeight="1">
      <c r="A191" s="64"/>
      <c r="B191" s="322"/>
      <c r="C191" s="322"/>
      <c r="D191" s="322"/>
      <c r="E191" s="351"/>
      <c r="F191" s="10"/>
      <c r="G191" s="10"/>
      <c r="H191" s="14"/>
      <c r="I191" s="10"/>
      <c r="J191" s="10"/>
      <c r="K191" s="14"/>
      <c r="L191" s="10"/>
      <c r="M191" s="10"/>
      <c r="N191" s="14"/>
      <c r="O191" s="10"/>
      <c r="Q191" s="58"/>
      <c r="R191" s="52"/>
      <c r="S191" s="52"/>
      <c r="T191" s="58"/>
      <c r="U191" s="52"/>
      <c r="V191" s="52"/>
      <c r="W191" s="58"/>
      <c r="X191" s="52"/>
      <c r="Y191" s="52"/>
      <c r="Z191" s="52"/>
      <c r="AA191" s="52"/>
      <c r="AD191" s="52"/>
      <c r="AI191" s="157"/>
      <c r="AM191" s="84"/>
      <c r="AN191" s="172"/>
      <c r="AZ191" s="65">
        <f>+AS190+AZ188</f>
        <v>16393</v>
      </c>
      <c r="BI191" s="65"/>
      <c r="BL191" s="568"/>
      <c r="BN191" s="51"/>
      <c r="BP191" s="52"/>
      <c r="BR191" s="52"/>
      <c r="BS191" s="52"/>
      <c r="BW191" s="39"/>
      <c r="BY191" s="534"/>
      <c r="BZ191" s="39">
        <f t="shared" si="148"/>
        <v>0</v>
      </c>
      <c r="CA191" s="51" t="e">
        <f t="shared" si="149"/>
        <v>#DIV/0!</v>
      </c>
      <c r="CC191" s="39"/>
    </row>
    <row r="192" spans="1:81" ht="18" customHeight="1">
      <c r="A192" s="73" t="s">
        <v>104</v>
      </c>
      <c r="B192" s="322"/>
      <c r="C192" s="322"/>
      <c r="D192" s="322"/>
      <c r="E192" s="351"/>
      <c r="F192" s="10"/>
      <c r="G192" s="10"/>
      <c r="H192" s="14"/>
      <c r="I192" s="10"/>
      <c r="J192" s="10"/>
      <c r="K192" s="14"/>
      <c r="L192" s="10"/>
      <c r="M192" s="10"/>
      <c r="N192" s="14"/>
      <c r="O192" s="10"/>
      <c r="Q192" s="58"/>
      <c r="R192" s="52"/>
      <c r="S192" s="52"/>
      <c r="T192" s="58"/>
      <c r="U192" s="52"/>
      <c r="V192" s="52"/>
      <c r="W192" s="58"/>
      <c r="X192" s="52"/>
      <c r="AA192" s="52"/>
      <c r="AD192" s="52"/>
      <c r="AI192" s="157"/>
      <c r="AM192" s="84"/>
      <c r="AN192" s="172"/>
      <c r="AZ192" s="65">
        <f>+AZ191-2600</f>
        <v>13793</v>
      </c>
      <c r="BI192" s="65"/>
      <c r="BL192" s="568"/>
      <c r="BN192" s="51"/>
      <c r="BP192" s="52"/>
      <c r="BR192" s="52"/>
      <c r="BS192" s="52"/>
      <c r="BW192" s="39"/>
      <c r="BY192" s="534"/>
      <c r="BZ192" s="39">
        <f t="shared" si="148"/>
        <v>0</v>
      </c>
      <c r="CA192" s="51" t="e">
        <f t="shared" si="149"/>
        <v>#DIV/0!</v>
      </c>
      <c r="CC192" s="39"/>
    </row>
    <row r="193" spans="1:81" ht="18" customHeight="1">
      <c r="A193" s="83" t="s">
        <v>119</v>
      </c>
      <c r="B193" s="322"/>
      <c r="C193" s="322"/>
      <c r="D193" s="322"/>
      <c r="E193" s="351"/>
      <c r="F193" s="10"/>
      <c r="G193" s="10"/>
      <c r="H193" s="14"/>
      <c r="I193" s="10"/>
      <c r="J193" s="10"/>
      <c r="K193" s="14"/>
      <c r="L193" s="10"/>
      <c r="M193" s="10"/>
      <c r="N193" s="14"/>
      <c r="O193" s="10"/>
      <c r="Q193" s="58"/>
      <c r="R193" s="52"/>
      <c r="S193" s="52"/>
      <c r="T193" s="58"/>
      <c r="U193" s="52"/>
      <c r="V193" s="52"/>
      <c r="W193" s="58"/>
      <c r="X193" s="52"/>
      <c r="AA193" s="52"/>
      <c r="AD193" s="52"/>
      <c r="AI193" s="157"/>
      <c r="AM193" s="84"/>
      <c r="AN193" s="172"/>
      <c r="AX193" s="50">
        <f>16393-2600</f>
        <v>13793</v>
      </c>
      <c r="AZ193" s="50">
        <f>+AZ192/AF188-1</f>
        <v>-0.97687121526157183</v>
      </c>
      <c r="BI193" s="65"/>
      <c r="BL193" s="568"/>
      <c r="BN193" s="51"/>
      <c r="BP193" s="52"/>
      <c r="BR193" s="52"/>
      <c r="BS193" s="52"/>
      <c r="BW193" s="39"/>
      <c r="BY193" s="534"/>
      <c r="BZ193" s="39">
        <f t="shared" si="148"/>
        <v>0</v>
      </c>
      <c r="CA193" s="51" t="e">
        <f t="shared" si="149"/>
        <v>#DIV/0!</v>
      </c>
      <c r="CC193" s="39"/>
    </row>
    <row r="194" spans="1:81" ht="18" customHeight="1">
      <c r="A194" s="73" t="s">
        <v>123</v>
      </c>
      <c r="B194" s="322"/>
      <c r="C194" s="322"/>
      <c r="D194" s="322"/>
      <c r="E194" s="351"/>
      <c r="F194" s="10"/>
      <c r="G194" s="10"/>
      <c r="H194" s="14"/>
      <c r="I194" s="10"/>
      <c r="J194" s="10"/>
      <c r="K194" s="14"/>
      <c r="L194" s="10"/>
      <c r="M194" s="10"/>
      <c r="N194" s="14"/>
      <c r="O194" s="10"/>
      <c r="Q194" s="58"/>
      <c r="R194" s="52"/>
      <c r="S194" s="52"/>
      <c r="T194" s="58"/>
      <c r="U194" s="52"/>
      <c r="V194" s="52"/>
      <c r="W194" s="58"/>
      <c r="X194" s="52"/>
      <c r="AA194" s="52"/>
      <c r="AD194" s="52"/>
      <c r="AI194" s="157"/>
      <c r="AM194" s="84"/>
      <c r="AN194" s="172"/>
      <c r="BI194" s="65"/>
      <c r="BL194" s="568"/>
      <c r="BN194" s="51"/>
      <c r="BP194" s="52"/>
      <c r="BR194" s="52"/>
      <c r="BS194" s="52"/>
      <c r="BW194" s="39"/>
      <c r="BY194" s="534"/>
      <c r="BZ194" s="39">
        <f t="shared" si="148"/>
        <v>0</v>
      </c>
      <c r="CA194" s="51" t="e">
        <f t="shared" si="149"/>
        <v>#DIV/0!</v>
      </c>
      <c r="CC194" s="39"/>
    </row>
    <row r="195" spans="1:81" ht="18" customHeight="1">
      <c r="A195" s="73"/>
      <c r="B195" s="322"/>
      <c r="C195" s="322"/>
      <c r="D195" s="322"/>
      <c r="E195" s="351"/>
      <c r="F195" s="10"/>
      <c r="G195" s="10"/>
      <c r="H195" s="14"/>
      <c r="I195" s="10"/>
      <c r="J195" s="10"/>
      <c r="K195" s="14"/>
      <c r="L195" s="10"/>
      <c r="M195" s="10"/>
      <c r="N195" s="14"/>
      <c r="O195" s="10"/>
      <c r="Q195" s="58"/>
      <c r="R195" s="52"/>
      <c r="S195" s="52"/>
      <c r="T195" s="58"/>
      <c r="U195" s="52"/>
      <c r="V195" s="52"/>
      <c r="W195" s="58"/>
      <c r="X195" s="52"/>
      <c r="AA195" s="52"/>
      <c r="AD195" s="52"/>
      <c r="AI195" s="157"/>
      <c r="AM195" s="84"/>
      <c r="AN195" s="172"/>
      <c r="BI195" s="65"/>
      <c r="BL195" s="568"/>
      <c r="BN195" s="51"/>
      <c r="BP195" s="52"/>
      <c r="BR195" s="52"/>
      <c r="BS195" s="52"/>
      <c r="BW195" s="39"/>
      <c r="BY195" s="534"/>
      <c r="BZ195" s="39">
        <f t="shared" si="148"/>
        <v>0</v>
      </c>
      <c r="CA195" s="51" t="e">
        <f t="shared" si="149"/>
        <v>#DIV/0!</v>
      </c>
      <c r="CC195" s="39"/>
    </row>
    <row r="196" spans="1:81" ht="18" customHeight="1">
      <c r="B196" s="322"/>
      <c r="C196" s="322"/>
      <c r="D196" s="322"/>
      <c r="E196" s="351"/>
      <c r="F196" s="10"/>
      <c r="G196" s="10"/>
      <c r="H196" s="14"/>
      <c r="I196" s="10"/>
      <c r="J196" s="10"/>
      <c r="K196" s="14"/>
      <c r="L196" s="10"/>
      <c r="M196" s="10"/>
      <c r="N196" s="14"/>
      <c r="O196" s="10"/>
      <c r="P196" s="63"/>
      <c r="Q196" s="72"/>
      <c r="R196" s="52"/>
      <c r="S196" s="52"/>
      <c r="T196" s="58"/>
      <c r="U196" s="52"/>
      <c r="V196" s="52"/>
      <c r="W196" s="58"/>
      <c r="X196" s="52"/>
      <c r="AA196" s="52"/>
      <c r="AD196" s="52"/>
      <c r="AI196" s="157"/>
      <c r="AM196" s="84"/>
      <c r="AN196" s="172"/>
      <c r="BI196" s="65"/>
      <c r="BL196" s="568"/>
      <c r="BN196" s="51"/>
      <c r="BP196" s="52"/>
      <c r="BR196" s="52"/>
      <c r="BS196" s="52"/>
      <c r="BW196" s="39"/>
      <c r="BY196" s="534"/>
      <c r="BZ196" s="39">
        <f t="shared" si="148"/>
        <v>0</v>
      </c>
      <c r="CA196" s="51" t="e">
        <f t="shared" si="149"/>
        <v>#DIV/0!</v>
      </c>
      <c r="CC196" s="39"/>
    </row>
    <row r="197" spans="1:81" s="109" customFormat="1" ht="18" customHeight="1">
      <c r="A197" s="116" t="s">
        <v>198</v>
      </c>
      <c r="B197" s="354"/>
      <c r="C197" s="354"/>
      <c r="D197" s="354"/>
      <c r="E197" s="357"/>
      <c r="F197" s="358"/>
      <c r="G197" s="358"/>
      <c r="H197" s="360"/>
      <c r="I197" s="358"/>
      <c r="J197" s="358"/>
      <c r="K197" s="360"/>
      <c r="L197" s="358"/>
      <c r="M197" s="358"/>
      <c r="N197" s="360"/>
      <c r="O197" s="358"/>
      <c r="P197" s="105"/>
      <c r="Q197" s="117"/>
      <c r="R197" s="107"/>
      <c r="S197" s="107"/>
      <c r="T197" s="125"/>
      <c r="U197" s="107"/>
      <c r="V197" s="107"/>
      <c r="W197" s="125"/>
      <c r="X197" s="107"/>
      <c r="AA197" s="107"/>
      <c r="AC197" s="110"/>
      <c r="AD197" s="107"/>
      <c r="AE197" s="175"/>
      <c r="AF197" s="158"/>
      <c r="AG197" s="158"/>
      <c r="AH197" s="158"/>
      <c r="AI197" s="158"/>
      <c r="AM197" s="123"/>
      <c r="AN197" s="170"/>
      <c r="AO197" s="113"/>
      <c r="AP197" s="107"/>
      <c r="AQ197" s="107"/>
      <c r="AR197" s="107"/>
      <c r="AS197" s="107"/>
      <c r="AT197" s="107"/>
      <c r="AU197" s="200"/>
      <c r="AV197" s="114"/>
      <c r="AW197" s="107"/>
      <c r="BD197" s="298"/>
      <c r="BE197" s="298"/>
      <c r="BI197" s="110"/>
      <c r="BK197" s="316"/>
      <c r="BL197" s="577"/>
      <c r="BM197" s="107"/>
      <c r="BN197" s="108"/>
      <c r="BP197" s="107"/>
      <c r="BR197" s="107"/>
      <c r="BS197" s="107"/>
      <c r="BU197" s="107"/>
      <c r="BV197" s="107"/>
      <c r="BW197" s="554"/>
      <c r="BY197" s="680"/>
      <c r="BZ197" s="39">
        <f t="shared" si="148"/>
        <v>0</v>
      </c>
      <c r="CA197" s="51" t="e">
        <f t="shared" si="149"/>
        <v>#DIV/0!</v>
      </c>
      <c r="CC197" s="39"/>
    </row>
    <row r="198" spans="1:81" ht="18" customHeight="1">
      <c r="A198" s="57" t="s">
        <v>36</v>
      </c>
      <c r="B198" s="322">
        <f>'FY 2013 by Agency'!B198*Inflator!$E$2</f>
        <v>427671.08771929826</v>
      </c>
      <c r="C198" s="322">
        <f>'FY 2013 by Agency'!C198*Inflator!$E$3</f>
        <v>299838.04945904174</v>
      </c>
      <c r="D198" s="322">
        <f t="shared" si="150"/>
        <v>-127833.03826025652</v>
      </c>
      <c r="E198" s="351">
        <f t="shared" si="151"/>
        <v>-0.29890502755743847</v>
      </c>
      <c r="F198" s="10">
        <f>'FY 2013 by Agency'!F198*Inflator!$E$4</f>
        <v>301707.99314807769</v>
      </c>
      <c r="G198" s="10">
        <f t="shared" si="152"/>
        <v>1869.9436890359502</v>
      </c>
      <c r="H198" s="14">
        <f t="shared" si="153"/>
        <v>6.2365123185988006E-3</v>
      </c>
      <c r="I198" s="10">
        <f>'FY 2013 by Agency'!I198*Inflator!$E$5</f>
        <v>316736.81740423955</v>
      </c>
      <c r="J198" s="10">
        <f t="shared" si="154"/>
        <v>15028.824256161868</v>
      </c>
      <c r="K198" s="14">
        <f t="shared" si="155"/>
        <v>4.9812482922140383E-2</v>
      </c>
      <c r="L198" s="10">
        <f>'FY 2013 by Agency'!L198*Inflator!$E$6</f>
        <v>374752.09233006177</v>
      </c>
      <c r="M198" s="10">
        <f t="shared" si="156"/>
        <v>58015.274925822217</v>
      </c>
      <c r="N198" s="14">
        <f t="shared" si="157"/>
        <v>0.18316555492751402</v>
      </c>
      <c r="O198" s="10">
        <f>'FY 2013 by Agency'!O198*Inflator!$E$7</f>
        <v>409868.64977120725</v>
      </c>
      <c r="P198" s="52">
        <f>O198-L198</f>
        <v>35116.557441145473</v>
      </c>
      <c r="Q198" s="58">
        <f>P198/L198</f>
        <v>9.3706101072857179E-2</v>
      </c>
      <c r="R198" s="52">
        <f>'FY 2013 by Agency'!R198*Inflator!$E$8</f>
        <v>426916.13849287166</v>
      </c>
      <c r="S198" s="52">
        <f t="shared" ref="S198:S206" si="219">R198-O198</f>
        <v>17047.488721664413</v>
      </c>
      <c r="T198" s="99">
        <f t="shared" ref="T198:T206" si="220">S198/O198</f>
        <v>4.1592565645556183E-2</v>
      </c>
      <c r="U198" s="52">
        <f>'FY 2013 by Agency'!U198*Inflator!$E$9</f>
        <v>435165.9515915119</v>
      </c>
      <c r="V198" s="52">
        <f>U198-R198</f>
        <v>8249.8130986402393</v>
      </c>
      <c r="W198" s="58">
        <f>V198/R198</f>
        <v>1.9324200597719939E-2</v>
      </c>
      <c r="X198" s="52">
        <f>'FY 2013 by Agency'!X198*Inflator!$E$10</f>
        <v>454102.93617021281</v>
      </c>
      <c r="Y198" s="39">
        <f>X198-U198</f>
        <v>18936.984578700911</v>
      </c>
      <c r="Z198" s="58">
        <f>Y198/U198</f>
        <v>4.3516696353295956E-2</v>
      </c>
      <c r="AA198" s="52">
        <f>'FY 2013 by Agency'!AA198*Inflator!$E$11</f>
        <v>497659.23733673152</v>
      </c>
      <c r="AB198" s="39">
        <f t="shared" ref="AB198:AB222" si="221">AA198-X198</f>
        <v>43556.301166518708</v>
      </c>
      <c r="AC198" s="58">
        <f t="shared" ref="AC198:AC222" si="222">AB198/X198</f>
        <v>9.5917241878815701E-2</v>
      </c>
      <c r="AD198" s="52" t="e">
        <f>'FY 2013 by Agency'!AD198*Inflator!#REF!</f>
        <v>#REF!</v>
      </c>
      <c r="AE198" s="52">
        <f>'FY 2013 by Agency'!AE198*Inflator!$B$8</f>
        <v>0</v>
      </c>
      <c r="AF198" s="52">
        <f>'FY 2013 by Agency'!AF198*Inflator!$E$12</f>
        <v>374520.9172932331</v>
      </c>
      <c r="AG198" s="52">
        <f t="shared" ref="AG198:AG222" si="223">AF198-AA198</f>
        <v>-123138.32004349842</v>
      </c>
      <c r="AH198" s="58">
        <f t="shared" ref="AH198:AH222" si="224">AG198/AA198</f>
        <v>-0.24743501336875467</v>
      </c>
      <c r="AI198" s="52">
        <f>'FY 2013 by Agency'!AI198*Inflator!$B$8</f>
        <v>0</v>
      </c>
      <c r="AJ198" s="52">
        <f>'FY 2013 by Agency'!AJ198*Inflator!$B$8</f>
        <v>0</v>
      </c>
      <c r="AK198" s="52">
        <f>'FY 2013 by Agency'!AK198</f>
        <v>471409</v>
      </c>
      <c r="AL198" s="52">
        <f>'FY 2013 by Agency'!AL198</f>
        <v>0</v>
      </c>
      <c r="AM198" s="52">
        <f>'FY 2013 by Agency'!AM198</f>
        <v>471409</v>
      </c>
      <c r="AN198" s="52">
        <f>'FY 2013 by Agency'!AN198</f>
        <v>403905</v>
      </c>
      <c r="AO198" s="52">
        <f>'FY 2013 by Agency'!AO198</f>
        <v>412909</v>
      </c>
      <c r="AP198" s="52">
        <f>'FY 2013 by Agency'!AP198</f>
        <v>0</v>
      </c>
      <c r="AQ198" s="52">
        <f>'FY 2013 by Agency'!AQ198</f>
        <v>0</v>
      </c>
      <c r="AR198" s="52">
        <f>'FY 2013 by Agency'!AR198</f>
        <v>0</v>
      </c>
      <c r="AS198" s="52">
        <f>'FY 2013 by Agency'!AS198</f>
        <v>404768.30356999999</v>
      </c>
      <c r="AT198" s="52" t="e">
        <f t="shared" ref="AT198:AT222" si="225">AR198-AD198</f>
        <v>#REF!</v>
      </c>
      <c r="AU198" s="58" t="e">
        <f t="shared" ref="AU198:AU222" si="226">AT198/AD198</f>
        <v>#REF!</v>
      </c>
      <c r="AV198" s="52">
        <f t="shared" ref="AV198:AV222" si="227">AS198-AF198</f>
        <v>30247.386276766891</v>
      </c>
      <c r="AW198" s="58">
        <f t="shared" ref="AW198:AW222" si="228">AV198/AF198</f>
        <v>8.0762875663589556E-2</v>
      </c>
      <c r="AX198" s="284" t="s">
        <v>299</v>
      </c>
      <c r="AY198" s="65">
        <v>410909</v>
      </c>
      <c r="AZ198" s="280">
        <f t="shared" ref="AZ198:AZ219" si="229">+AY198-AO198</f>
        <v>-2000</v>
      </c>
      <c r="BA198" s="280">
        <f t="shared" ref="BA198:BA220" si="230">+AZ198+AV198</f>
        <v>28247.386276766891</v>
      </c>
      <c r="BB198" s="280">
        <f t="shared" ref="BB198:BB220" si="231">+AZ198+AS198</f>
        <v>402768.30356999999</v>
      </c>
      <c r="BC198" s="58">
        <f t="shared" ref="BC198:BC222" si="232">+BB198/AF198-1</f>
        <v>7.5422719993635035E-2</v>
      </c>
      <c r="BI198" s="65">
        <v>410909</v>
      </c>
      <c r="BJ198" s="65">
        <f>BI198-AY198</f>
        <v>0</v>
      </c>
      <c r="BK198" s="65">
        <f>BI198+AP198+AQ198</f>
        <v>410909</v>
      </c>
      <c r="BL198" s="568">
        <f>'FY 2013 by Agency'!AS198*Inflator!$E$13</f>
        <v>419713.97483395186</v>
      </c>
      <c r="BM198" s="52">
        <f>BL198-AF198</f>
        <v>45193.057540718757</v>
      </c>
      <c r="BN198" s="51">
        <f t="shared" ref="BN198:BN221" si="233">BM198/AF198</f>
        <v>0.12066898123432347</v>
      </c>
      <c r="BO198" s="52">
        <f>'FY 2013 by Agency'!AX198*Inflator!$E$13</f>
        <v>426081.41043637483</v>
      </c>
      <c r="BP198" s="52">
        <f t="shared" si="171"/>
        <v>51560.493143141735</v>
      </c>
      <c r="BQ198" s="51">
        <f t="shared" si="172"/>
        <v>0.13767052990199791</v>
      </c>
      <c r="BR198" s="52">
        <f>'FY 2013 by Agency'!BE198*Inflator!$E$14</f>
        <v>448917.50134368474</v>
      </c>
      <c r="BS198" s="52">
        <f t="shared" si="173"/>
        <v>22836.090907309903</v>
      </c>
      <c r="BT198" s="51">
        <f t="shared" si="174"/>
        <v>5.359560484913465E-2</v>
      </c>
      <c r="BU198" s="52">
        <f>'FY 2013 by Agency'!BL198*Inflator!$E$14</f>
        <v>448917.50134368474</v>
      </c>
      <c r="BV198" s="52">
        <f>BU198-BL198</f>
        <v>29203.526509732881</v>
      </c>
      <c r="BW198" s="39">
        <v>469424</v>
      </c>
      <c r="BX198" s="39">
        <f>'FY 2013 by Agency'!BW198*Inflator!E15</f>
        <v>469424</v>
      </c>
      <c r="BY198" s="534">
        <v>467424</v>
      </c>
      <c r="BZ198" s="39">
        <f t="shared" si="148"/>
        <v>20506.498656315263</v>
      </c>
      <c r="CA198" s="51">
        <f t="shared" si="149"/>
        <v>4.5679882372453517E-2</v>
      </c>
      <c r="CC198" s="39"/>
    </row>
    <row r="199" spans="1:81" ht="18" customHeight="1">
      <c r="A199" s="57" t="s">
        <v>37</v>
      </c>
      <c r="B199" s="322">
        <f>'FY 2013 by Agency'!B199*Inflator!$E$2</f>
        <v>4067.3030303030305</v>
      </c>
      <c r="C199" s="322">
        <f>'FY 2013 by Agency'!C199*Inflator!$E$3</f>
        <v>0</v>
      </c>
      <c r="D199" s="322">
        <f t="shared" si="150"/>
        <v>-4067.3030303030305</v>
      </c>
      <c r="E199" s="351">
        <f t="shared" si="151"/>
        <v>-1</v>
      </c>
      <c r="F199" s="10">
        <f>'FY 2013 by Agency'!F199*Inflator!$E$4</f>
        <v>0</v>
      </c>
      <c r="G199" s="10">
        <f t="shared" si="152"/>
        <v>0</v>
      </c>
      <c r="H199" s="325" t="s">
        <v>78</v>
      </c>
      <c r="I199" s="10">
        <f>'FY 2013 by Agency'!I199*Inflator!$E$5</f>
        <v>4154.9364075864642</v>
      </c>
      <c r="J199" s="10">
        <f t="shared" si="154"/>
        <v>4154.9364075864642</v>
      </c>
      <c r="K199" s="14" t="e">
        <f t="shared" si="155"/>
        <v>#DIV/0!</v>
      </c>
      <c r="L199" s="10">
        <f>'FY 2013 by Agency'!L199*Inflator!$E$6</f>
        <v>3174.4311159578333</v>
      </c>
      <c r="M199" s="10">
        <f t="shared" si="156"/>
        <v>-980.50529162863086</v>
      </c>
      <c r="N199" s="14">
        <f t="shared" si="157"/>
        <v>-0.23598563141383688</v>
      </c>
      <c r="O199" s="10">
        <f>'FY 2013 by Agency'!O199*Inflator!$E$7</f>
        <v>5580.8053502287921</v>
      </c>
      <c r="P199" s="52">
        <f t="shared" ref="P199:P222" si="234">O199-L199</f>
        <v>2406.3742342709588</v>
      </c>
      <c r="Q199" s="58">
        <f>P199/L199</f>
        <v>0.75804896889213935</v>
      </c>
      <c r="R199" s="52">
        <f>'FY 2013 by Agency'!R199*Inflator!$E$8</f>
        <v>7670.2987101154104</v>
      </c>
      <c r="S199" s="52">
        <f t="shared" si="219"/>
        <v>2089.4933598866182</v>
      </c>
      <c r="T199" s="58">
        <f t="shared" si="220"/>
        <v>0.37440713817423443</v>
      </c>
      <c r="U199" s="52">
        <f>'FY 2013 by Agency'!U199*Inflator!$E$9</f>
        <v>9525.8919098143233</v>
      </c>
      <c r="V199" s="52">
        <f t="shared" ref="V199:V222" si="235">U199-R199</f>
        <v>1855.5931996989129</v>
      </c>
      <c r="W199" s="58">
        <f>V199/R199</f>
        <v>0.2419192876089428</v>
      </c>
      <c r="X199" s="52">
        <f>'FY 2013 by Agency'!X199*Inflator!$E$10</f>
        <v>8469.6417910447763</v>
      </c>
      <c r="Y199" s="39">
        <f t="shared" ref="Y199:Y214" si="236">X199-U199</f>
        <v>-1056.250118769547</v>
      </c>
      <c r="Z199" s="58">
        <f>Y199/U199</f>
        <v>-0.11088201805873055</v>
      </c>
      <c r="AA199" s="52">
        <f>'FY 2013 by Agency'!AA199*Inflator!$E$11</f>
        <v>9742.5931825422122</v>
      </c>
      <c r="AB199" s="39">
        <f t="shared" si="221"/>
        <v>1272.9513914974359</v>
      </c>
      <c r="AC199" s="58">
        <f t="shared" si="222"/>
        <v>0.15029577671671643</v>
      </c>
      <c r="AD199" s="52" t="e">
        <f>'FY 2013 by Agency'!AD199*Inflator!#REF!</f>
        <v>#REF!</v>
      </c>
      <c r="AE199" s="52">
        <f>'FY 2013 by Agency'!AE199*Inflator!$B$8</f>
        <v>0</v>
      </c>
      <c r="AF199" s="52">
        <f>'FY 2013 by Agency'!AF199*Inflator!$E$12</f>
        <v>2526.1447368421054</v>
      </c>
      <c r="AG199" s="52">
        <f t="shared" si="223"/>
        <v>-7216.4484457001072</v>
      </c>
      <c r="AH199" s="58">
        <f t="shared" si="224"/>
        <v>-0.74071125730994158</v>
      </c>
      <c r="AI199" s="52">
        <f>'FY 2013 by Agency'!AI199*Inflator!$B$8</f>
        <v>0</v>
      </c>
      <c r="AJ199" s="52">
        <f>'FY 2013 by Agency'!AJ199*Inflator!$B$8</f>
        <v>0</v>
      </c>
      <c r="AK199" s="52">
        <f>'FY 2013 by Agency'!AK199</f>
        <v>9000</v>
      </c>
      <c r="AL199" s="52">
        <f>'FY 2013 by Agency'!AL199</f>
        <v>0</v>
      </c>
      <c r="AM199" s="52">
        <f>'FY 2013 by Agency'!AM199</f>
        <v>9000</v>
      </c>
      <c r="AN199" s="52">
        <f>'FY 2013 by Agency'!AN199</f>
        <v>9000</v>
      </c>
      <c r="AO199" s="52">
        <f>'FY 2013 by Agency'!AO199</f>
        <v>9000</v>
      </c>
      <c r="AP199" s="52">
        <f>'FY 2013 by Agency'!AP199</f>
        <v>0</v>
      </c>
      <c r="AQ199" s="52">
        <f>'FY 2013 by Agency'!AQ199</f>
        <v>0</v>
      </c>
      <c r="AR199" s="52">
        <f>'FY 2013 by Agency'!AR199</f>
        <v>0</v>
      </c>
      <c r="AS199" s="52">
        <f>'FY 2013 by Agency'!AS199</f>
        <v>2840.6934099999999</v>
      </c>
      <c r="AT199" s="52" t="e">
        <f t="shared" si="225"/>
        <v>#REF!</v>
      </c>
      <c r="AU199" s="58" t="e">
        <f t="shared" si="226"/>
        <v>#REF!</v>
      </c>
      <c r="AV199" s="52">
        <f t="shared" si="227"/>
        <v>314.54867315789443</v>
      </c>
      <c r="AW199" s="58">
        <f t="shared" si="228"/>
        <v>0.1245172806492105</v>
      </c>
      <c r="AX199" s="282" t="s">
        <v>300</v>
      </c>
      <c r="AY199" s="65">
        <v>9000</v>
      </c>
      <c r="AZ199" s="280">
        <f t="shared" si="229"/>
        <v>0</v>
      </c>
      <c r="BA199" s="280">
        <f t="shared" si="230"/>
        <v>314.54867315789443</v>
      </c>
      <c r="BB199" s="280">
        <f t="shared" si="231"/>
        <v>2840.6934099999999</v>
      </c>
      <c r="BC199" s="58">
        <f t="shared" si="232"/>
        <v>0.12451728064921053</v>
      </c>
      <c r="BI199" s="65">
        <v>3000</v>
      </c>
      <c r="BJ199" s="65">
        <f t="shared" ref="BJ199:BJ221" si="237">BI199-AY199</f>
        <v>-6000</v>
      </c>
      <c r="BK199" s="65">
        <f t="shared" ref="BK199:BK221" si="238">BI199+AP199+AQ199</f>
        <v>3000</v>
      </c>
      <c r="BL199" s="568">
        <f>'FY 2013 by Agency'!AS199*Inflator!$E$13</f>
        <v>2945.5832185474524</v>
      </c>
      <c r="BM199" s="52">
        <f t="shared" ref="BM199:BM222" si="239">BL199-AF199</f>
        <v>419.43848170534693</v>
      </c>
      <c r="BN199" s="51">
        <f t="shared" si="233"/>
        <v>0.1660389745639359</v>
      </c>
      <c r="BO199" s="52">
        <f>'FY 2013 by Agency'!AX199*Inflator!$E$13</f>
        <v>3110.772047604517</v>
      </c>
      <c r="BP199" s="52">
        <f t="shared" si="171"/>
        <v>584.62731076241153</v>
      </c>
      <c r="BQ199" s="51">
        <f t="shared" si="172"/>
        <v>0.23143064696017582</v>
      </c>
      <c r="BR199" s="52">
        <f>'FY 2013 by Agency'!BE199*Inflator!$E$14</f>
        <v>4565.8405494177368</v>
      </c>
      <c r="BS199" s="52">
        <f t="shared" si="173"/>
        <v>1455.0685018132199</v>
      </c>
      <c r="BT199" s="51">
        <f t="shared" si="174"/>
        <v>0.46775156763212877</v>
      </c>
      <c r="BU199" s="52">
        <f>'FY 2013 by Agency'!BL199*Inflator!$E$14</f>
        <v>4565.8405494177368</v>
      </c>
      <c r="BV199" s="52">
        <f t="shared" ref="BV199:BV222" si="240">BU199-BL199</f>
        <v>1620.2573308702845</v>
      </c>
      <c r="BW199" s="39">
        <v>5000</v>
      </c>
      <c r="BX199" s="39">
        <f>'FY 2013 by Agency'!BW199*Inflator!E15</f>
        <v>5000</v>
      </c>
      <c r="BY199" s="534">
        <v>4390</v>
      </c>
      <c r="BZ199" s="39">
        <f t="shared" si="148"/>
        <v>434.15945058226316</v>
      </c>
      <c r="CA199" s="51">
        <f t="shared" si="149"/>
        <v>9.5088614217513523E-2</v>
      </c>
      <c r="CC199" s="39"/>
    </row>
    <row r="200" spans="1:81" ht="18" customHeight="1">
      <c r="A200" s="57" t="s">
        <v>38</v>
      </c>
      <c r="B200" s="322">
        <f>'FY 2013 by Agency'!B200*Inflator!$E$2</f>
        <v>10742.720095693781</v>
      </c>
      <c r="C200" s="322">
        <f>'FY 2013 by Agency'!C200*Inflator!$E$3</f>
        <v>10410.642194744978</v>
      </c>
      <c r="D200" s="322">
        <f t="shared" si="150"/>
        <v>-332.07790094880329</v>
      </c>
      <c r="E200" s="351">
        <f t="shared" si="151"/>
        <v>-3.0911901081916552E-2</v>
      </c>
      <c r="F200" s="10">
        <f>'FY 2013 by Agency'!F200*Inflator!$E$4</f>
        <v>10249.620098972211</v>
      </c>
      <c r="G200" s="10">
        <f t="shared" si="152"/>
        <v>-161.02209577276699</v>
      </c>
      <c r="H200" s="14">
        <f t="shared" si="153"/>
        <v>-1.5467066561373781E-2</v>
      </c>
      <c r="I200" s="10">
        <f>'FY 2013 by Agency'!I200*Inflator!$E$5</f>
        <v>2881.1602826329495</v>
      </c>
      <c r="J200" s="10">
        <f t="shared" si="154"/>
        <v>-7368.459816339262</v>
      </c>
      <c r="K200" s="14">
        <f t="shared" si="155"/>
        <v>-0.71890077341287417</v>
      </c>
      <c r="L200" s="10">
        <f>'FY 2013 by Agency'!L200*Inflator!$E$6</f>
        <v>5869.6095965103596</v>
      </c>
      <c r="M200" s="10">
        <f t="shared" si="156"/>
        <v>2988.4493138774101</v>
      </c>
      <c r="N200" s="14">
        <f t="shared" si="157"/>
        <v>1.0372381335016927</v>
      </c>
      <c r="O200" s="10">
        <f>'FY 2013 by Agency'!O200*Inflator!$E$7</f>
        <v>13041.813445969727</v>
      </c>
      <c r="P200" s="52">
        <f t="shared" si="234"/>
        <v>7172.2038494593671</v>
      </c>
      <c r="Q200" s="58">
        <f>P200/L200</f>
        <v>1.2219217873916921</v>
      </c>
      <c r="R200" s="52">
        <f>'FY 2013 by Agency'!R200*Inflator!$E$8</f>
        <v>12619.659877800406</v>
      </c>
      <c r="S200" s="52">
        <f t="shared" si="219"/>
        <v>-422.15356816932035</v>
      </c>
      <c r="T200" s="58">
        <f t="shared" si="220"/>
        <v>-3.23692383669065E-2</v>
      </c>
      <c r="U200" s="52">
        <f>'FY 2013 by Agency'!U200*Inflator!$E$9</f>
        <v>34304.477453580897</v>
      </c>
      <c r="V200" s="52">
        <f t="shared" si="235"/>
        <v>21684.817575780493</v>
      </c>
      <c r="W200" s="58">
        <f>V200/R200</f>
        <v>1.7183361347104811</v>
      </c>
      <c r="X200" s="52">
        <f>'FY 2013 by Agency'!X200*Inflator!$E$10</f>
        <v>33088.685932041924</v>
      </c>
      <c r="Y200" s="39">
        <f t="shared" si="236"/>
        <v>-1215.791521538973</v>
      </c>
      <c r="Z200" s="58">
        <f>Y200/U200</f>
        <v>-3.5441190532172408E-2</v>
      </c>
      <c r="AA200" s="52">
        <f>'FY 2013 by Agency'!AA200*Inflator!$E$11</f>
        <v>35496.597005415744</v>
      </c>
      <c r="AB200" s="39">
        <f t="shared" si="221"/>
        <v>2407.9110733738198</v>
      </c>
      <c r="AC200" s="58">
        <f t="shared" si="222"/>
        <v>7.2771432456375768E-2</v>
      </c>
      <c r="AD200" s="52" t="e">
        <f>'FY 2013 by Agency'!AD200*Inflator!#REF!</f>
        <v>#REF!</v>
      </c>
      <c r="AE200" s="52">
        <f>'FY 2013 by Agency'!AE200*Inflator!$B$8</f>
        <v>0</v>
      </c>
      <c r="AF200" s="52">
        <f>'FY 2013 by Agency'!AF200*Inflator!$E$12</f>
        <v>34338.748746867175</v>
      </c>
      <c r="AG200" s="52">
        <f t="shared" si="223"/>
        <v>-1157.848258548569</v>
      </c>
      <c r="AH200" s="58">
        <f t="shared" si="224"/>
        <v>-3.261857068642144E-2</v>
      </c>
      <c r="AI200" s="52">
        <f>'FY 2013 by Agency'!AI200*Inflator!$B$8</f>
        <v>0</v>
      </c>
      <c r="AJ200" s="52">
        <f>'FY 2013 by Agency'!AJ200*Inflator!$B$8</f>
        <v>0</v>
      </c>
      <c r="AK200" s="52">
        <f>'FY 2013 by Agency'!AK200</f>
        <v>33045</v>
      </c>
      <c r="AL200" s="52">
        <f>'FY 2013 by Agency'!AL200</f>
        <v>0</v>
      </c>
      <c r="AM200" s="52">
        <f>'FY 2013 by Agency'!AM200</f>
        <v>33045</v>
      </c>
      <c r="AN200" s="52">
        <f>'FY 2013 by Agency'!AN200</f>
        <v>33045</v>
      </c>
      <c r="AO200" s="52">
        <f>'FY 2013 by Agency'!AO200</f>
        <v>33045</v>
      </c>
      <c r="AP200" s="52">
        <f>'FY 2013 by Agency'!AP200</f>
        <v>0</v>
      </c>
      <c r="AQ200" s="52">
        <f>'FY 2013 by Agency'!AQ200</f>
        <v>0</v>
      </c>
      <c r="AR200" s="52">
        <f>'FY 2013 by Agency'!AR200</f>
        <v>0</v>
      </c>
      <c r="AS200" s="52">
        <f>'FY 2013 by Agency'!AS200</f>
        <v>32243.889360000001</v>
      </c>
      <c r="AT200" s="52" t="e">
        <f t="shared" si="225"/>
        <v>#REF!</v>
      </c>
      <c r="AU200" s="58" t="e">
        <f t="shared" si="226"/>
        <v>#REF!</v>
      </c>
      <c r="AV200" s="52">
        <f t="shared" si="227"/>
        <v>-2094.8593868671742</v>
      </c>
      <c r="AW200" s="58">
        <f t="shared" si="228"/>
        <v>-6.1005699488636558E-2</v>
      </c>
      <c r="AX200" s="282" t="s">
        <v>301</v>
      </c>
      <c r="AY200" s="65">
        <v>33045</v>
      </c>
      <c r="AZ200" s="280">
        <f t="shared" si="229"/>
        <v>0</v>
      </c>
      <c r="BA200" s="280">
        <f t="shared" si="230"/>
        <v>-2094.8593868671742</v>
      </c>
      <c r="BB200" s="280">
        <f t="shared" si="231"/>
        <v>32243.889360000001</v>
      </c>
      <c r="BC200" s="58">
        <f t="shared" si="232"/>
        <v>-6.1005699488636544E-2</v>
      </c>
      <c r="BI200" s="65">
        <v>33045</v>
      </c>
      <c r="BJ200" s="65">
        <f t="shared" si="237"/>
        <v>0</v>
      </c>
      <c r="BK200" s="65">
        <f t="shared" si="238"/>
        <v>33045</v>
      </c>
      <c r="BL200" s="568">
        <f>'FY 2013 by Agency'!AS200*Inflator!$E$13</f>
        <v>33434.463242380232</v>
      </c>
      <c r="BM200" s="52">
        <f t="shared" si="239"/>
        <v>-904.28550448694295</v>
      </c>
      <c r="BN200" s="51">
        <f t="shared" si="233"/>
        <v>-2.6334259036431652E-2</v>
      </c>
      <c r="BO200" s="52">
        <f>'FY 2013 by Agency'!AX200*Inflator!$E$13</f>
        <v>34265.154104363755</v>
      </c>
      <c r="BP200" s="52">
        <f t="shared" si="171"/>
        <v>-73.594642503419891</v>
      </c>
      <c r="BQ200" s="51">
        <f t="shared" si="172"/>
        <v>-2.1431952295621762E-3</v>
      </c>
      <c r="BR200" s="52">
        <f>'FY 2013 by Agency'!BE200*Inflator!$E$14</f>
        <v>33010.012541057033</v>
      </c>
      <c r="BS200" s="52">
        <f t="shared" si="173"/>
        <v>-1255.1415633067227</v>
      </c>
      <c r="BT200" s="51">
        <f t="shared" si="174"/>
        <v>-3.6630261737152885E-2</v>
      </c>
      <c r="BU200" s="52">
        <f>'FY 2013 by Agency'!BL200*Inflator!$E$14</f>
        <v>33010.012541057033</v>
      </c>
      <c r="BV200" s="52">
        <f t="shared" si="240"/>
        <v>-424.45070132319961</v>
      </c>
      <c r="BW200" s="39">
        <v>32542</v>
      </c>
      <c r="BX200" s="39">
        <f>'FY 2013 by Agency'!BW200*Inflator!E15</f>
        <v>32542</v>
      </c>
      <c r="BY200" s="534">
        <v>32542</v>
      </c>
      <c r="BZ200" s="39">
        <f t="shared" ref="BZ200:BZ245" si="241">BW200-BR200</f>
        <v>-468.01254105703265</v>
      </c>
      <c r="CA200" s="51">
        <f t="shared" ref="CA200:CA245" si="242">BZ200/BR200</f>
        <v>-1.4177896493523906E-2</v>
      </c>
      <c r="CC200" s="39"/>
    </row>
    <row r="201" spans="1:81" ht="18" customHeight="1">
      <c r="A201" s="57" t="s">
        <v>99</v>
      </c>
      <c r="B201" s="322">
        <f>'FY 2013 by Agency'!B201*Inflator!$E$2</f>
        <v>92355.688995215314</v>
      </c>
      <c r="C201" s="322">
        <f>'FY 2013 by Agency'!C201*Inflator!$E$3</f>
        <v>33981.312982998454</v>
      </c>
      <c r="D201" s="322">
        <f t="shared" si="150"/>
        <v>-58374.376012216861</v>
      </c>
      <c r="E201" s="351">
        <f t="shared" si="151"/>
        <v>-0.6320604247264191</v>
      </c>
      <c r="F201" s="10">
        <f>'FY 2013 by Agency'!F201*Inflator!$E$4</f>
        <v>40563.867529501331</v>
      </c>
      <c r="G201" s="10">
        <f t="shared" si="152"/>
        <v>6582.5545465028772</v>
      </c>
      <c r="H201" s="14">
        <f t="shared" si="153"/>
        <v>0.19371101257318291</v>
      </c>
      <c r="I201" s="10">
        <f>'FY 2013 by Agency'!I201*Inflator!$E$5</f>
        <v>29514.201561918933</v>
      </c>
      <c r="J201" s="10">
        <f t="shared" si="154"/>
        <v>-11049.665967582398</v>
      </c>
      <c r="K201" s="14">
        <f t="shared" si="155"/>
        <v>-0.2724016875251401</v>
      </c>
      <c r="L201" s="10">
        <f>'FY 2013 by Agency'!L201*Inflator!$E$6</f>
        <v>23332.686295892399</v>
      </c>
      <c r="M201" s="10">
        <f t="shared" si="156"/>
        <v>-6181.5152660265339</v>
      </c>
      <c r="N201" s="14">
        <f t="shared" si="157"/>
        <v>-0.20944206310504809</v>
      </c>
      <c r="O201" s="10">
        <f>'FY 2013 by Agency'!O201*Inflator!$E$7</f>
        <v>23111.423442449839</v>
      </c>
      <c r="P201" s="52">
        <f t="shared" si="234"/>
        <v>-221.2628534425603</v>
      </c>
      <c r="Q201" s="58">
        <f>P201/L201</f>
        <v>-9.4829566830250695E-3</v>
      </c>
      <c r="R201" s="52">
        <f>'FY 2013 by Agency'!R201*Inflator!$E$8</f>
        <v>34552.100475220635</v>
      </c>
      <c r="S201" s="52">
        <f t="shared" si="219"/>
        <v>11440.677032770796</v>
      </c>
      <c r="T201" s="58">
        <f t="shared" si="220"/>
        <v>0.49502260478500715</v>
      </c>
      <c r="U201" s="52">
        <f>'FY 2013 by Agency'!U201*Inflator!$E$9</f>
        <v>28199.118700265251</v>
      </c>
      <c r="V201" s="52">
        <f t="shared" si="235"/>
        <v>-6352.981774955384</v>
      </c>
      <c r="W201" s="58">
        <f>V201/R201</f>
        <v>-0.1838667313297345</v>
      </c>
      <c r="X201" s="52">
        <f>'FY 2013 by Agency'!X201*Inflator!$E$10</f>
        <v>22676.713242299145</v>
      </c>
      <c r="Y201" s="39">
        <f t="shared" si="236"/>
        <v>-5522.405457966106</v>
      </c>
      <c r="Z201" s="58">
        <f>Y201/U201</f>
        <v>-0.19583610100248133</v>
      </c>
      <c r="AA201" s="52">
        <f>'FY 2013 by Agency'!AA201*Inflator!$E$11</f>
        <v>23249.074864606566</v>
      </c>
      <c r="AB201" s="39">
        <f t="shared" si="221"/>
        <v>572.36162230742048</v>
      </c>
      <c r="AC201" s="58">
        <f t="shared" si="222"/>
        <v>2.524006085854574E-2</v>
      </c>
      <c r="AD201" s="52" t="e">
        <f>'FY 2013 by Agency'!AD201*Inflator!#REF!</f>
        <v>#REF!</v>
      </c>
      <c r="AE201" s="52">
        <f>'FY 2013 by Agency'!AE201*Inflator!$B$8</f>
        <v>0</v>
      </c>
      <c r="AF201" s="52">
        <f>'FY 2013 by Agency'!AF201*Inflator!$E$12</f>
        <v>22855.59523809524</v>
      </c>
      <c r="AG201" s="52">
        <f t="shared" si="223"/>
        <v>-393.47962651132548</v>
      </c>
      <c r="AH201" s="58">
        <f t="shared" si="224"/>
        <v>-1.6924528343721008E-2</v>
      </c>
      <c r="AI201" s="52">
        <f>'FY 2013 by Agency'!AI201*Inflator!$B$8</f>
        <v>0</v>
      </c>
      <c r="AJ201" s="52">
        <f>'FY 2013 by Agency'!AJ201*Inflator!$B$8</f>
        <v>0</v>
      </c>
      <c r="AK201" s="52">
        <f>'FY 2013 by Agency'!AK201</f>
        <v>21950</v>
      </c>
      <c r="AL201" s="52">
        <f>'FY 2013 by Agency'!AL201</f>
        <v>0</v>
      </c>
      <c r="AM201" s="52">
        <f>'FY 2013 by Agency'!AM201</f>
        <v>21950</v>
      </c>
      <c r="AN201" s="52">
        <f>'FY 2013 by Agency'!AN201</f>
        <v>21477</v>
      </c>
      <c r="AO201" s="52">
        <f>'FY 2013 by Agency'!AO201</f>
        <v>21477</v>
      </c>
      <c r="AP201" s="52">
        <f>'FY 2013 by Agency'!AP201</f>
        <v>0</v>
      </c>
      <c r="AQ201" s="52">
        <f>'FY 2013 by Agency'!AQ201</f>
        <v>0</v>
      </c>
      <c r="AR201" s="52">
        <f>'FY 2013 by Agency'!AR201</f>
        <v>0</v>
      </c>
      <c r="AS201" s="52">
        <f>'FY 2013 by Agency'!AS201</f>
        <v>21477</v>
      </c>
      <c r="AT201" s="52" t="e">
        <f t="shared" si="225"/>
        <v>#REF!</v>
      </c>
      <c r="AU201" s="58" t="e">
        <f t="shared" si="226"/>
        <v>#REF!</v>
      </c>
      <c r="AV201" s="52">
        <f t="shared" si="227"/>
        <v>-1378.5952380952403</v>
      </c>
      <c r="AW201" s="58">
        <f t="shared" si="228"/>
        <v>-6.0317625672571672E-2</v>
      </c>
      <c r="AX201" s="282" t="s">
        <v>305</v>
      </c>
      <c r="AY201" s="65">
        <v>21477</v>
      </c>
      <c r="AZ201" s="280">
        <f t="shared" si="229"/>
        <v>0</v>
      </c>
      <c r="BA201" s="280">
        <f t="shared" si="230"/>
        <v>-1378.5952380952403</v>
      </c>
      <c r="BB201" s="280">
        <f t="shared" si="231"/>
        <v>21477</v>
      </c>
      <c r="BC201" s="58">
        <f t="shared" si="232"/>
        <v>-6.0317625672571706E-2</v>
      </c>
      <c r="BI201" s="219">
        <v>21477</v>
      </c>
      <c r="BJ201" s="65">
        <f t="shared" si="237"/>
        <v>0</v>
      </c>
      <c r="BK201" s="65">
        <f t="shared" si="238"/>
        <v>21477</v>
      </c>
      <c r="BL201" s="568">
        <f>'FY 2013 by Agency'!AS201*Inflator!$E$13</f>
        <v>22270.017088800738</v>
      </c>
      <c r="BM201" s="52">
        <f t="shared" si="239"/>
        <v>-585.57814929450251</v>
      </c>
      <c r="BN201" s="51">
        <f t="shared" si="233"/>
        <v>-2.5620778771863827E-2</v>
      </c>
      <c r="BO201" s="52">
        <f>'FY 2013 by Agency'!AX201*Inflator!$E$13</f>
        <v>22270.017088800738</v>
      </c>
      <c r="BP201" s="52">
        <f t="shared" si="171"/>
        <v>-585.57814929450251</v>
      </c>
      <c r="BQ201" s="51">
        <f t="shared" si="172"/>
        <v>-2.5620778771863827E-2</v>
      </c>
      <c r="BR201" s="52">
        <f>'FY 2013 by Agency'!BE201*Inflator!$E$14</f>
        <v>21791.234995521052</v>
      </c>
      <c r="BS201" s="52">
        <f t="shared" si="173"/>
        <v>-478.7820932796858</v>
      </c>
      <c r="BT201" s="51">
        <f t="shared" si="174"/>
        <v>-2.1498954911914201E-2</v>
      </c>
      <c r="BU201" s="52">
        <f>'FY 2013 by Agency'!BL201*Inflator!$E$14</f>
        <v>21791.234995521052</v>
      </c>
      <c r="BV201" s="52">
        <f t="shared" si="240"/>
        <v>-478.7820932796858</v>
      </c>
      <c r="BW201" s="39">
        <v>21477</v>
      </c>
      <c r="BX201" s="39" t="e">
        <f>'FY 2013 by Agency'!BW201*Inflator!E15</f>
        <v>#REF!</v>
      </c>
      <c r="BY201" s="534">
        <v>21477</v>
      </c>
      <c r="BZ201" s="39">
        <f t="shared" si="241"/>
        <v>-314.23499552105204</v>
      </c>
      <c r="CA201" s="51">
        <f t="shared" si="242"/>
        <v>-1.4420247204237832E-2</v>
      </c>
      <c r="CC201" s="39"/>
    </row>
    <row r="202" spans="1:81" ht="18" customHeight="1">
      <c r="A202" s="57" t="s">
        <v>145</v>
      </c>
      <c r="B202" s="322">
        <f>'FY 2013 by Agency'!B202*Inflator!$E$2</f>
        <v>0</v>
      </c>
      <c r="C202" s="322">
        <f>'FY 2013 by Agency'!C202*Inflator!$E$3</f>
        <v>12994.592735703247</v>
      </c>
      <c r="D202" s="322">
        <f t="shared" si="150"/>
        <v>12994.592735703247</v>
      </c>
      <c r="E202" s="325" t="s">
        <v>78</v>
      </c>
      <c r="F202" s="10">
        <f>'FY 2013 by Agency'!F202*Inflator!$E$4</f>
        <v>7689.8020555767034</v>
      </c>
      <c r="G202" s="10">
        <f t="shared" si="152"/>
        <v>-5304.7906801265435</v>
      </c>
      <c r="H202" s="14">
        <f t="shared" si="153"/>
        <v>-0.40823062238429259</v>
      </c>
      <c r="I202" s="10">
        <f>'FY 2013 by Agency'!I202*Inflator!$E$5</f>
        <v>4896.7088136853854</v>
      </c>
      <c r="J202" s="10">
        <f t="shared" si="154"/>
        <v>-2793.093241891318</v>
      </c>
      <c r="K202" s="14">
        <f t="shared" si="155"/>
        <v>-0.36322043424586531</v>
      </c>
      <c r="L202" s="10">
        <f>'FY 2013 by Agency'!L202*Inflator!$E$6</f>
        <v>4345.388585968738</v>
      </c>
      <c r="M202" s="10">
        <f t="shared" si="156"/>
        <v>-551.32022771664742</v>
      </c>
      <c r="N202" s="14">
        <f t="shared" si="157"/>
        <v>-0.1125899555586827</v>
      </c>
      <c r="O202" s="10">
        <f>'FY 2013 by Agency'!O202*Inflator!$E$7</f>
        <v>3897.9521295318546</v>
      </c>
      <c r="P202" s="52">
        <f t="shared" si="234"/>
        <v>-447.43645643688342</v>
      </c>
      <c r="Q202" s="58">
        <f>P202/L202</f>
        <v>-0.102968111501387</v>
      </c>
      <c r="R202" s="52">
        <f>'FY 2013 by Agency'!R202*Inflator!$E$8</f>
        <v>4417.6306856754918</v>
      </c>
      <c r="S202" s="52">
        <f t="shared" si="219"/>
        <v>519.67855614363725</v>
      </c>
      <c r="T202" s="58">
        <f t="shared" si="220"/>
        <v>0.13332091797803861</v>
      </c>
      <c r="U202" s="52">
        <f>'FY 2013 by Agency'!U202*Inflator!$E$9</f>
        <v>4239.613395225464</v>
      </c>
      <c r="V202" s="52">
        <f t="shared" si="235"/>
        <v>-178.01729045002776</v>
      </c>
      <c r="W202" s="58">
        <f>V202/R202</f>
        <v>-4.0297006046083154E-2</v>
      </c>
      <c r="X202" s="52">
        <f>'FY 2013 by Agency'!X202*Inflator!$E$10</f>
        <v>4474.9145760558913</v>
      </c>
      <c r="Y202" s="39">
        <f t="shared" si="236"/>
        <v>235.30118083042726</v>
      </c>
      <c r="Z202" s="58">
        <f>Y202/U202</f>
        <v>5.550062208394213E-2</v>
      </c>
      <c r="AA202" s="52">
        <f>'FY 2013 by Agency'!AA202*Inflator!$E$11</f>
        <v>4392.8270149729224</v>
      </c>
      <c r="AB202" s="39">
        <f t="shared" si="221"/>
        <v>-82.087561082968932</v>
      </c>
      <c r="AC202" s="58">
        <f t="shared" si="222"/>
        <v>-1.8343939239018819E-2</v>
      </c>
      <c r="AD202" s="52" t="e">
        <f>'FY 2013 by Agency'!AD202*Inflator!#REF!</f>
        <v>#REF!</v>
      </c>
      <c r="AE202" s="52">
        <f>'FY 2013 by Agency'!AE202*Inflator!$B$8</f>
        <v>0</v>
      </c>
      <c r="AF202" s="52">
        <f>'FY 2013 by Agency'!AF202*Inflator!$E$12</f>
        <v>3434.1942355889728</v>
      </c>
      <c r="AG202" s="52">
        <f t="shared" si="223"/>
        <v>-958.63277938394958</v>
      </c>
      <c r="AH202" s="58">
        <f t="shared" si="224"/>
        <v>-0.21822684483510413</v>
      </c>
      <c r="AI202" s="52">
        <f>'FY 2013 by Agency'!AI202*Inflator!$B$8</f>
        <v>0</v>
      </c>
      <c r="AJ202" s="52">
        <f>'FY 2013 by Agency'!AJ202*Inflator!$B$8</f>
        <v>0</v>
      </c>
      <c r="AK202" s="52">
        <f>'FY 2013 by Agency'!AK202</f>
        <v>3598</v>
      </c>
      <c r="AL202" s="52">
        <f>'FY 2013 by Agency'!AL202</f>
        <v>0</v>
      </c>
      <c r="AM202" s="52">
        <f>'FY 2013 by Agency'!AM202</f>
        <v>3598</v>
      </c>
      <c r="AN202" s="52">
        <f>'FY 2013 by Agency'!AN202</f>
        <v>3598</v>
      </c>
      <c r="AO202" s="52">
        <f>'FY 2013 by Agency'!AO202</f>
        <v>3598</v>
      </c>
      <c r="AP202" s="52">
        <f>'FY 2013 by Agency'!AP202</f>
        <v>0</v>
      </c>
      <c r="AQ202" s="52">
        <f>'FY 2013 by Agency'!AQ202</f>
        <v>0</v>
      </c>
      <c r="AR202" s="52">
        <f>'FY 2013 by Agency'!AR202</f>
        <v>0</v>
      </c>
      <c r="AS202" s="52">
        <f>'FY 2013 by Agency'!AS202</f>
        <v>3565.94409</v>
      </c>
      <c r="AT202" s="52" t="e">
        <f t="shared" si="225"/>
        <v>#REF!</v>
      </c>
      <c r="AU202" s="58" t="e">
        <f t="shared" si="226"/>
        <v>#REF!</v>
      </c>
      <c r="AV202" s="52">
        <f t="shared" si="227"/>
        <v>131.74985441102717</v>
      </c>
      <c r="AW202" s="58">
        <f t="shared" si="228"/>
        <v>3.836412426696411E-2</v>
      </c>
      <c r="AX202" s="282" t="s">
        <v>306</v>
      </c>
      <c r="AY202" s="65">
        <v>3598</v>
      </c>
      <c r="AZ202" s="280">
        <f t="shared" si="229"/>
        <v>0</v>
      </c>
      <c r="BA202" s="280">
        <f t="shared" si="230"/>
        <v>131.74985441102717</v>
      </c>
      <c r="BB202" s="280">
        <f t="shared" si="231"/>
        <v>3565.94409</v>
      </c>
      <c r="BC202" s="58">
        <f t="shared" si="232"/>
        <v>3.8364124266964117E-2</v>
      </c>
      <c r="BI202" s="219">
        <v>3598</v>
      </c>
      <c r="BJ202" s="65">
        <f t="shared" si="237"/>
        <v>0</v>
      </c>
      <c r="BK202" s="65">
        <f t="shared" si="238"/>
        <v>3598</v>
      </c>
      <c r="BL202" s="568">
        <f>'FY 2013 by Agency'!AS202*Inflator!$E$13</f>
        <v>3697.6130661641751</v>
      </c>
      <c r="BM202" s="52">
        <f t="shared" si="239"/>
        <v>263.41883057520226</v>
      </c>
      <c r="BN202" s="51">
        <f t="shared" si="233"/>
        <v>7.670469766833829E-2</v>
      </c>
      <c r="BO202" s="52">
        <f>'FY 2013 by Agency'!AX202*Inflator!$E$13</f>
        <v>3730.8526090936839</v>
      </c>
      <c r="BP202" s="52">
        <f t="shared" si="171"/>
        <v>296.65837350471111</v>
      </c>
      <c r="BQ202" s="51">
        <f t="shared" si="172"/>
        <v>8.6383690948637751E-2</v>
      </c>
      <c r="BR202" s="52">
        <f>'FY 2013 by Agency'!BE202*Inflator!$E$14</f>
        <v>4026.0567333532399</v>
      </c>
      <c r="BS202" s="52">
        <f t="shared" si="173"/>
        <v>295.20412425955601</v>
      </c>
      <c r="BT202" s="51">
        <f t="shared" si="174"/>
        <v>7.9125110313931268E-2</v>
      </c>
      <c r="BU202" s="52">
        <f>'FY 2013 by Agency'!BL202*Inflator!$E$14</f>
        <v>4026.0567333532399</v>
      </c>
      <c r="BV202" s="52">
        <f t="shared" si="240"/>
        <v>328.44366718906485</v>
      </c>
      <c r="BW202" s="39">
        <v>4193</v>
      </c>
      <c r="BX202" s="39">
        <f>'FY 2013 by Agency'!BW202*Inflator!E15</f>
        <v>4193</v>
      </c>
      <c r="BY202" s="534">
        <v>4193</v>
      </c>
      <c r="BZ202" s="39">
        <f t="shared" si="241"/>
        <v>166.94326664676009</v>
      </c>
      <c r="CA202" s="51">
        <f t="shared" si="242"/>
        <v>4.1465701479997688E-2</v>
      </c>
      <c r="CC202" s="39"/>
    </row>
    <row r="203" spans="1:81" ht="18" customHeight="1">
      <c r="A203" s="57" t="s">
        <v>39</v>
      </c>
      <c r="B203" s="322">
        <f>'FY 2013 by Agency'!B203*Inflator!$E$2</f>
        <v>0</v>
      </c>
      <c r="C203" s="322">
        <f>'FY 2013 by Agency'!C203*Inflator!$E$3</f>
        <v>0</v>
      </c>
      <c r="D203" s="322">
        <f t="shared" si="150"/>
        <v>0</v>
      </c>
      <c r="E203" s="325" t="s">
        <v>78</v>
      </c>
      <c r="F203" s="10">
        <f>'FY 2013 by Agency'!F203*Inflator!$E$4</f>
        <v>0</v>
      </c>
      <c r="G203" s="10">
        <f t="shared" si="152"/>
        <v>0</v>
      </c>
      <c r="H203" s="325" t="s">
        <v>78</v>
      </c>
      <c r="I203" s="10">
        <f>'FY 2013 by Agency'!I203*Inflator!$E$5</f>
        <v>0</v>
      </c>
      <c r="J203" s="10">
        <f t="shared" si="154"/>
        <v>0</v>
      </c>
      <c r="K203" s="325" t="s">
        <v>78</v>
      </c>
      <c r="L203" s="10">
        <f>'FY 2013 by Agency'!L203*Inflator!$E$6</f>
        <v>0</v>
      </c>
      <c r="M203" s="10">
        <f t="shared" si="156"/>
        <v>0</v>
      </c>
      <c r="N203" s="325" t="s">
        <v>78</v>
      </c>
      <c r="O203" s="10">
        <f>'FY 2013 by Agency'!O203*Inflator!$E$7</f>
        <v>0</v>
      </c>
      <c r="P203" s="52">
        <f t="shared" si="234"/>
        <v>0</v>
      </c>
      <c r="Q203" s="60" t="s">
        <v>78</v>
      </c>
      <c r="R203" s="52">
        <f>'FY 2013 by Agency'!R203*Inflator!$E$8</f>
        <v>0</v>
      </c>
      <c r="S203" s="52">
        <f t="shared" si="219"/>
        <v>0</v>
      </c>
      <c r="T203" s="60" t="s">
        <v>78</v>
      </c>
      <c r="U203" s="52">
        <f>'FY 2013 by Agency'!U203*Inflator!$E$9</f>
        <v>0</v>
      </c>
      <c r="V203" s="52">
        <f t="shared" si="235"/>
        <v>0</v>
      </c>
      <c r="W203" s="60" t="s">
        <v>78</v>
      </c>
      <c r="X203" s="52">
        <f>'FY 2013 by Agency'!X203*Inflator!$E$10</f>
        <v>0</v>
      </c>
      <c r="Y203" s="39">
        <f t="shared" si="236"/>
        <v>0</v>
      </c>
      <c r="Z203" s="61" t="s">
        <v>127</v>
      </c>
      <c r="AA203" s="52">
        <f>'FY 2013 by Agency'!AA203*Inflator!$E$11</f>
        <v>28893.283848359355</v>
      </c>
      <c r="AB203" s="39">
        <f t="shared" si="221"/>
        <v>28893.283848359355</v>
      </c>
      <c r="AC203" s="58" t="e">
        <f t="shared" si="222"/>
        <v>#DIV/0!</v>
      </c>
      <c r="AD203" s="52" t="e">
        <f>'FY 2013 by Agency'!AD203*Inflator!#REF!</f>
        <v>#REF!</v>
      </c>
      <c r="AE203" s="52">
        <f>'FY 2013 by Agency'!AE203*Inflator!$B$8</f>
        <v>0</v>
      </c>
      <c r="AF203" s="52">
        <f>'FY 2013 by Agency'!AF203*Inflator!$E$12</f>
        <v>0</v>
      </c>
      <c r="AG203" s="52">
        <f t="shared" si="223"/>
        <v>-28893.283848359355</v>
      </c>
      <c r="AH203" s="58">
        <f t="shared" si="224"/>
        <v>-1</v>
      </c>
      <c r="AI203" s="52">
        <f>'FY 2013 by Agency'!AI203*Inflator!$B$8</f>
        <v>0</v>
      </c>
      <c r="AJ203" s="52">
        <f>'FY 2013 by Agency'!AJ203*Inflator!$B$8</f>
        <v>0</v>
      </c>
      <c r="AK203" s="52">
        <f>'FY 2013 by Agency'!AK203</f>
        <v>0</v>
      </c>
      <c r="AL203" s="52">
        <f>'FY 2013 by Agency'!AL203</f>
        <v>0</v>
      </c>
      <c r="AM203" s="52">
        <f>'FY 2013 by Agency'!AM203</f>
        <v>0</v>
      </c>
      <c r="AN203" s="52">
        <f>'FY 2013 by Agency'!AN203</f>
        <v>0</v>
      </c>
      <c r="AO203" s="52">
        <f>'FY 2013 by Agency'!AO203</f>
        <v>0</v>
      </c>
      <c r="AP203" s="52">
        <f>'FY 2013 by Agency'!AP203</f>
        <v>0</v>
      </c>
      <c r="AQ203" s="52">
        <f>'FY 2013 by Agency'!AQ203</f>
        <v>0</v>
      </c>
      <c r="AR203" s="52">
        <f>'FY 2013 by Agency'!AR203</f>
        <v>0</v>
      </c>
      <c r="AS203" s="52">
        <f>'FY 2013 by Agency'!AS203</f>
        <v>0</v>
      </c>
      <c r="AT203" s="52" t="e">
        <f t="shared" si="225"/>
        <v>#REF!</v>
      </c>
      <c r="AU203" s="58" t="e">
        <f t="shared" si="226"/>
        <v>#REF!</v>
      </c>
      <c r="AV203" s="52">
        <f t="shared" si="227"/>
        <v>0</v>
      </c>
      <c r="AW203" s="58" t="e">
        <f t="shared" si="228"/>
        <v>#DIV/0!</v>
      </c>
      <c r="AX203" s="282" t="s">
        <v>307</v>
      </c>
      <c r="AY203" s="65">
        <v>0</v>
      </c>
      <c r="AZ203" s="280">
        <f t="shared" si="229"/>
        <v>0</v>
      </c>
      <c r="BA203" s="280">
        <f t="shared" si="230"/>
        <v>0</v>
      </c>
      <c r="BB203" s="280">
        <f t="shared" si="231"/>
        <v>0</v>
      </c>
      <c r="BC203" s="58" t="e">
        <f t="shared" si="232"/>
        <v>#DIV/0!</v>
      </c>
      <c r="BI203" s="219">
        <v>0</v>
      </c>
      <c r="BJ203" s="65">
        <f t="shared" si="237"/>
        <v>0</v>
      </c>
      <c r="BK203" s="65">
        <f t="shared" si="238"/>
        <v>0</v>
      </c>
      <c r="BL203" s="568">
        <f>'FY 2013 by Agency'!AS203*Inflator!$E$13</f>
        <v>0</v>
      </c>
      <c r="BM203" s="52">
        <f t="shared" si="239"/>
        <v>0</v>
      </c>
      <c r="BN203" s="51" t="e">
        <f t="shared" si="233"/>
        <v>#DIV/0!</v>
      </c>
      <c r="BO203" s="52">
        <f>'FY 2013 by Agency'!AX203*Inflator!$E$13</f>
        <v>0</v>
      </c>
      <c r="BP203" s="52">
        <f t="shared" si="171"/>
        <v>0</v>
      </c>
      <c r="BQ203" s="51" t="e">
        <f t="shared" si="172"/>
        <v>#DIV/0!</v>
      </c>
      <c r="BR203" s="52">
        <f>'FY 2013 by Agency'!BE203*Inflator!$E$14</f>
        <v>0</v>
      </c>
      <c r="BS203" s="52">
        <f t="shared" si="173"/>
        <v>0</v>
      </c>
      <c r="BT203" s="51" t="e">
        <f t="shared" si="174"/>
        <v>#DIV/0!</v>
      </c>
      <c r="BU203" s="52">
        <f>'FY 2013 by Agency'!BL203*Inflator!$E$14</f>
        <v>0</v>
      </c>
      <c r="BV203" s="52">
        <f t="shared" si="240"/>
        <v>0</v>
      </c>
      <c r="BW203" s="39">
        <v>0</v>
      </c>
      <c r="BX203" s="39">
        <f>'FY 2013 by Agency'!BW203*Inflator!E15</f>
        <v>0</v>
      </c>
      <c r="BY203" s="534"/>
      <c r="BZ203" s="39">
        <f t="shared" si="241"/>
        <v>0</v>
      </c>
      <c r="CA203" s="51" t="e">
        <f t="shared" si="242"/>
        <v>#DIV/0!</v>
      </c>
      <c r="CC203" s="39"/>
    </row>
    <row r="204" spans="1:81" ht="18" customHeight="1">
      <c r="A204" s="57" t="s">
        <v>41</v>
      </c>
      <c r="B204" s="322">
        <f>'FY 2013 by Agency'!B204*Inflator!$E$2</f>
        <v>0</v>
      </c>
      <c r="C204" s="322">
        <f>'FY 2013 by Agency'!C204*Inflator!$E$3</f>
        <v>0</v>
      </c>
      <c r="D204" s="322">
        <f t="shared" ref="D204:D244" si="243">C204-B204</f>
        <v>0</v>
      </c>
      <c r="E204" s="325" t="s">
        <v>78</v>
      </c>
      <c r="F204" s="10">
        <f>'FY 2013 by Agency'!F204*Inflator!$E$4</f>
        <v>0</v>
      </c>
      <c r="G204" s="10">
        <f t="shared" ref="G204:G244" si="244">F204-C204</f>
        <v>0</v>
      </c>
      <c r="H204" s="325" t="s">
        <v>78</v>
      </c>
      <c r="I204" s="10">
        <f>'FY 2013 by Agency'!I204*Inflator!$E$5</f>
        <v>0</v>
      </c>
      <c r="J204" s="10">
        <f t="shared" ref="J204:J244" si="245">I204-F204</f>
        <v>0</v>
      </c>
      <c r="K204" s="325" t="s">
        <v>78</v>
      </c>
      <c r="L204" s="10">
        <f>'FY 2013 by Agency'!L204*Inflator!$E$6</f>
        <v>0</v>
      </c>
      <c r="M204" s="10">
        <f t="shared" ref="M204:M244" si="246">L204-I204</f>
        <v>0</v>
      </c>
      <c r="N204" s="325" t="s">
        <v>78</v>
      </c>
      <c r="O204" s="10">
        <f>'FY 2013 by Agency'!O204*Inflator!$E$7</f>
        <v>0</v>
      </c>
      <c r="P204" s="52">
        <f t="shared" si="234"/>
        <v>0</v>
      </c>
      <c r="Q204" s="60" t="s">
        <v>78</v>
      </c>
      <c r="R204" s="52">
        <f>'FY 2013 by Agency'!R204*Inflator!$E$8</f>
        <v>0</v>
      </c>
      <c r="S204" s="52">
        <f t="shared" si="219"/>
        <v>0</v>
      </c>
      <c r="T204" s="60" t="s">
        <v>78</v>
      </c>
      <c r="U204" s="52">
        <f>'FY 2013 by Agency'!U204*Inflator!$E$9</f>
        <v>0</v>
      </c>
      <c r="V204" s="52">
        <f t="shared" si="235"/>
        <v>0</v>
      </c>
      <c r="W204" s="60" t="s">
        <v>78</v>
      </c>
      <c r="X204" s="52">
        <f>'FY 2013 by Agency'!X204*Inflator!$E$10</f>
        <v>0</v>
      </c>
      <c r="Y204" s="39">
        <f t="shared" si="236"/>
        <v>0</v>
      </c>
      <c r="Z204" s="61" t="s">
        <v>127</v>
      </c>
      <c r="AA204" s="52">
        <f>'FY 2013 by Agency'!AA204*Inflator!$E$11</f>
        <v>42519.924179675065</v>
      </c>
      <c r="AB204" s="39">
        <f t="shared" si="221"/>
        <v>42519.924179675065</v>
      </c>
      <c r="AC204" s="58" t="e">
        <f t="shared" si="222"/>
        <v>#DIV/0!</v>
      </c>
      <c r="AD204" s="52" t="e">
        <f>'FY 2013 by Agency'!AD204*Inflator!#REF!</f>
        <v>#REF!</v>
      </c>
      <c r="AE204" s="52">
        <f>'FY 2013 by Agency'!AE204*Inflator!$B$8</f>
        <v>0</v>
      </c>
      <c r="AF204" s="52">
        <f>'FY 2013 by Agency'!AF204*Inflator!$E$12</f>
        <v>2565.5325814536345</v>
      </c>
      <c r="AG204" s="52">
        <f t="shared" si="223"/>
        <v>-39954.391598221431</v>
      </c>
      <c r="AH204" s="58">
        <f t="shared" si="224"/>
        <v>-0.93966281382317274</v>
      </c>
      <c r="AI204" s="52">
        <f>'FY 2013 by Agency'!AI204*Inflator!$B$8</f>
        <v>0</v>
      </c>
      <c r="AJ204" s="52">
        <f>'FY 2013 by Agency'!AJ204*Inflator!$B$8</f>
        <v>0</v>
      </c>
      <c r="AK204" s="52">
        <f>'FY 2013 by Agency'!AK204</f>
        <v>0</v>
      </c>
      <c r="AL204" s="52">
        <f>'FY 2013 by Agency'!AL204</f>
        <v>3467</v>
      </c>
      <c r="AM204" s="52">
        <f>'FY 2013 by Agency'!AM204</f>
        <v>3467</v>
      </c>
      <c r="AN204" s="52">
        <f>'FY 2013 by Agency'!AN204</f>
        <v>0</v>
      </c>
      <c r="AO204" s="52">
        <f>'FY 2013 by Agency'!AO204</f>
        <v>973</v>
      </c>
      <c r="AP204" s="52">
        <f>'FY 2013 by Agency'!AP204</f>
        <v>0</v>
      </c>
      <c r="AQ204" s="52">
        <f>'FY 2013 by Agency'!AQ204</f>
        <v>0</v>
      </c>
      <c r="AR204" s="52">
        <f>'FY 2013 by Agency'!AR204</f>
        <v>0</v>
      </c>
      <c r="AS204" s="52">
        <f>'FY 2013 by Agency'!AS204</f>
        <v>0</v>
      </c>
      <c r="AT204" s="52" t="e">
        <f t="shared" si="225"/>
        <v>#REF!</v>
      </c>
      <c r="AU204" s="58" t="e">
        <f t="shared" si="226"/>
        <v>#REF!</v>
      </c>
      <c r="AV204" s="52">
        <f t="shared" si="227"/>
        <v>-2565.5325814536345</v>
      </c>
      <c r="AW204" s="58">
        <f t="shared" si="228"/>
        <v>-1</v>
      </c>
      <c r="AX204" s="282" t="s">
        <v>308</v>
      </c>
      <c r="AY204" s="65">
        <v>973</v>
      </c>
      <c r="AZ204" s="280">
        <f t="shared" si="229"/>
        <v>0</v>
      </c>
      <c r="BA204" s="280">
        <f t="shared" si="230"/>
        <v>-2565.5325814536345</v>
      </c>
      <c r="BB204" s="280">
        <f t="shared" si="231"/>
        <v>0</v>
      </c>
      <c r="BC204" s="58">
        <f t="shared" si="232"/>
        <v>-1</v>
      </c>
      <c r="BI204" s="219">
        <v>973</v>
      </c>
      <c r="BJ204" s="65">
        <f t="shared" si="237"/>
        <v>0</v>
      </c>
      <c r="BK204" s="65">
        <f t="shared" si="238"/>
        <v>973</v>
      </c>
      <c r="BL204" s="568">
        <f>'FY 2013 by Agency'!AS204*Inflator!$E$13</f>
        <v>0</v>
      </c>
      <c r="BM204" s="52">
        <f t="shared" si="239"/>
        <v>-2565.5325814536345</v>
      </c>
      <c r="BN204" s="51">
        <f t="shared" si="233"/>
        <v>-1</v>
      </c>
      <c r="BO204" s="52">
        <f>'FY 2013 by Agency'!AX204*Inflator!$E$13</f>
        <v>1008.9270674397317</v>
      </c>
      <c r="BP204" s="52">
        <f t="shared" ref="BP204:BP244" si="247">BO204-AF204</f>
        <v>-1556.6055140139028</v>
      </c>
      <c r="BQ204" s="51">
        <f t="shared" ref="BQ204:BQ244" si="248">BP204/AF204</f>
        <v>-0.60673776870607032</v>
      </c>
      <c r="BR204" s="52">
        <f>'FY 2013 by Agency'!BE204*Inflator!$E$14</f>
        <v>22677.008062108092</v>
      </c>
      <c r="BS204" s="52">
        <f t="shared" ref="BS204:BS244" si="249">BR204-BO204</f>
        <v>21668.080994668362</v>
      </c>
      <c r="BT204" s="51">
        <f t="shared" ref="BT204:BT244" si="250">BS204/BO204</f>
        <v>21.476360079875352</v>
      </c>
      <c r="BU204" s="52">
        <f>'FY 2013 by Agency'!BL204*Inflator!$E$14</f>
        <v>22677.008062108092</v>
      </c>
      <c r="BV204" s="52">
        <f t="shared" si="240"/>
        <v>22677.008062108092</v>
      </c>
      <c r="BW204" s="39">
        <v>27161</v>
      </c>
      <c r="BX204" s="39">
        <f>'FY 2013 by Agency'!BW204*Inflator!E15</f>
        <v>46162</v>
      </c>
      <c r="BY204" s="534">
        <v>34161</v>
      </c>
      <c r="BZ204" s="39">
        <f t="shared" si="241"/>
        <v>4483.9919378919076</v>
      </c>
      <c r="CA204" s="51">
        <f t="shared" si="242"/>
        <v>0.19773296043336452</v>
      </c>
      <c r="CC204" s="39"/>
    </row>
    <row r="205" spans="1:81" ht="18" customHeight="1">
      <c r="A205" s="312" t="s">
        <v>401</v>
      </c>
      <c r="B205" s="325" t="s">
        <v>78</v>
      </c>
      <c r="C205" s="325" t="s">
        <v>78</v>
      </c>
      <c r="D205" s="325" t="s">
        <v>78</v>
      </c>
      <c r="E205" s="325" t="s">
        <v>78</v>
      </c>
      <c r="F205" s="10">
        <f>'FY 2013 by Agency'!F205*Inflator!$E$4</f>
        <v>0</v>
      </c>
      <c r="G205" s="325" t="s">
        <v>78</v>
      </c>
      <c r="H205" s="325" t="s">
        <v>78</v>
      </c>
      <c r="I205" s="10">
        <f>'FY 2013 by Agency'!I205*Inflator!$E$5</f>
        <v>0</v>
      </c>
      <c r="J205" s="10">
        <f t="shared" si="245"/>
        <v>0</v>
      </c>
      <c r="K205" s="325" t="s">
        <v>78</v>
      </c>
      <c r="L205" s="10">
        <f>'FY 2013 by Agency'!L205*Inflator!$E$6</f>
        <v>0</v>
      </c>
      <c r="M205" s="10">
        <f t="shared" si="246"/>
        <v>0</v>
      </c>
      <c r="N205" s="325" t="s">
        <v>78</v>
      </c>
      <c r="O205" s="10">
        <f>'FY 2013 by Agency'!O205*Inflator!$E$7</f>
        <v>0</v>
      </c>
      <c r="P205" s="69">
        <f t="shared" si="234"/>
        <v>0</v>
      </c>
      <c r="Q205" s="60" t="s">
        <v>78</v>
      </c>
      <c r="R205" s="52">
        <f>'FY 2013 by Agency'!R205*Inflator!$E$8</f>
        <v>0</v>
      </c>
      <c r="S205" s="52">
        <f t="shared" si="219"/>
        <v>0</v>
      </c>
      <c r="T205" s="60" t="s">
        <v>78</v>
      </c>
      <c r="U205" s="52">
        <f>'FY 2013 by Agency'!U205*Inflator!$E$9</f>
        <v>0</v>
      </c>
      <c r="V205" s="52">
        <f t="shared" si="235"/>
        <v>0</v>
      </c>
      <c r="W205" s="60" t="s">
        <v>78</v>
      </c>
      <c r="X205" s="52">
        <f>'FY 2013 by Agency'!X205*Inflator!$E$10</f>
        <v>0</v>
      </c>
      <c r="Y205" s="39">
        <f t="shared" si="236"/>
        <v>0</v>
      </c>
      <c r="Z205" s="61" t="s">
        <v>127</v>
      </c>
      <c r="AA205" s="52">
        <f>'FY 2013 by Agency'!AA205*Inflator!$E$11</f>
        <v>49795.476266326863</v>
      </c>
      <c r="AB205" s="39">
        <f t="shared" si="221"/>
        <v>49795.476266326863</v>
      </c>
      <c r="AC205" s="58" t="e">
        <f t="shared" si="222"/>
        <v>#DIV/0!</v>
      </c>
      <c r="AD205" s="52" t="e">
        <f>'FY 2013 by Agency'!AD205*Inflator!#REF!</f>
        <v>#REF!</v>
      </c>
      <c r="AE205" s="52">
        <f>'FY 2013 by Agency'!AE205*Inflator!$B$8</f>
        <v>0</v>
      </c>
      <c r="AF205" s="52">
        <f>'FY 2013 by Agency'!AF205*Inflator!$E$12</f>
        <v>0</v>
      </c>
      <c r="AG205" s="52">
        <f t="shared" si="223"/>
        <v>-49795.476266326863</v>
      </c>
      <c r="AH205" s="58">
        <f t="shared" si="224"/>
        <v>-1</v>
      </c>
      <c r="AI205" s="52">
        <f>'FY 2013 by Agency'!AI205*Inflator!$B$8</f>
        <v>0</v>
      </c>
      <c r="AJ205" s="52">
        <f>'FY 2013 by Agency'!AJ205*Inflator!$B$8</f>
        <v>0</v>
      </c>
      <c r="AK205" s="52">
        <f>'FY 2013 by Agency'!AK205</f>
        <v>0</v>
      </c>
      <c r="AL205" s="52">
        <f>'FY 2013 by Agency'!AL205</f>
        <v>0</v>
      </c>
      <c r="AM205" s="52">
        <f>'FY 2013 by Agency'!AM205</f>
        <v>0</v>
      </c>
      <c r="AN205" s="52">
        <f>'FY 2013 by Agency'!AN205</f>
        <v>0</v>
      </c>
      <c r="AO205" s="52">
        <f>'FY 2013 by Agency'!AO205</f>
        <v>0</v>
      </c>
      <c r="AP205" s="52">
        <f>'FY 2013 by Agency'!AP205</f>
        <v>0</v>
      </c>
      <c r="AQ205" s="52">
        <f>'FY 2013 by Agency'!AQ205</f>
        <v>0</v>
      </c>
      <c r="AR205" s="52">
        <f>'FY 2013 by Agency'!AR205</f>
        <v>0</v>
      </c>
      <c r="AS205" s="52">
        <f>'FY 2013 by Agency'!AS205</f>
        <v>0</v>
      </c>
      <c r="AT205" s="52" t="e">
        <f t="shared" si="225"/>
        <v>#REF!</v>
      </c>
      <c r="AU205" s="58" t="e">
        <f t="shared" si="226"/>
        <v>#REF!</v>
      </c>
      <c r="AV205" s="52">
        <f t="shared" si="227"/>
        <v>0</v>
      </c>
      <c r="AW205" s="58" t="e">
        <f t="shared" si="228"/>
        <v>#DIV/0!</v>
      </c>
      <c r="AX205" s="282" t="s">
        <v>310</v>
      </c>
      <c r="AY205" s="65">
        <v>0</v>
      </c>
      <c r="AZ205" s="280">
        <f t="shared" si="229"/>
        <v>0</v>
      </c>
      <c r="BA205" s="280">
        <f t="shared" si="230"/>
        <v>0</v>
      </c>
      <c r="BB205" s="280">
        <f t="shared" si="231"/>
        <v>0</v>
      </c>
      <c r="BC205" s="58" t="e">
        <f t="shared" si="232"/>
        <v>#DIV/0!</v>
      </c>
      <c r="BI205" s="219">
        <v>40000</v>
      </c>
      <c r="BJ205" s="65">
        <f t="shared" si="237"/>
        <v>40000</v>
      </c>
      <c r="BK205" s="65">
        <f t="shared" si="238"/>
        <v>40000</v>
      </c>
      <c r="BL205" s="568">
        <f>'FY 2013 by Agency'!AS205*Inflator!$E$13</f>
        <v>0</v>
      </c>
      <c r="BM205" s="52">
        <f t="shared" si="239"/>
        <v>0</v>
      </c>
      <c r="BN205" s="51" t="e">
        <f t="shared" si="233"/>
        <v>#DIV/0!</v>
      </c>
      <c r="BO205" s="52">
        <f>'FY 2013 by Agency'!AX205*Inflator!$E$13</f>
        <v>41476.960634726893</v>
      </c>
      <c r="BP205" s="52">
        <f t="shared" si="247"/>
        <v>41476.960634726893</v>
      </c>
      <c r="BQ205" s="51" t="e">
        <f t="shared" si="248"/>
        <v>#DIV/0!</v>
      </c>
      <c r="BR205" s="52">
        <f>'FY 2013 by Agency'!BE205*Inflator!$E$14</f>
        <v>0</v>
      </c>
      <c r="BS205" s="52">
        <f t="shared" si="249"/>
        <v>-41476.960634726893</v>
      </c>
      <c r="BT205" s="51">
        <f t="shared" si="250"/>
        <v>-1</v>
      </c>
      <c r="BU205" s="52">
        <f>'FY 2013 by Agency'!BL205*Inflator!$E$14</f>
        <v>0</v>
      </c>
      <c r="BV205" s="52">
        <f t="shared" si="240"/>
        <v>0</v>
      </c>
      <c r="BW205" s="39">
        <v>0</v>
      </c>
      <c r="BX205" s="39">
        <f>'FY 2013 by Agency'!BW205*Inflator!E15</f>
        <v>0</v>
      </c>
      <c r="BY205" s="534"/>
      <c r="BZ205" s="39">
        <f t="shared" si="241"/>
        <v>0</v>
      </c>
      <c r="CA205" s="51" t="e">
        <f t="shared" si="242"/>
        <v>#DIV/0!</v>
      </c>
      <c r="CC205" s="39"/>
    </row>
    <row r="206" spans="1:81" ht="18" customHeight="1">
      <c r="A206" s="59" t="s">
        <v>42</v>
      </c>
      <c r="B206" s="325" t="s">
        <v>78</v>
      </c>
      <c r="C206" s="325" t="s">
        <v>78</v>
      </c>
      <c r="D206" s="325" t="s">
        <v>78</v>
      </c>
      <c r="E206" s="325" t="s">
        <v>78</v>
      </c>
      <c r="F206" s="325" t="s">
        <v>78</v>
      </c>
      <c r="G206" s="325" t="s">
        <v>78</v>
      </c>
      <c r="H206" s="325" t="s">
        <v>78</v>
      </c>
      <c r="I206" s="325" t="s">
        <v>78</v>
      </c>
      <c r="J206" s="325" t="s">
        <v>78</v>
      </c>
      <c r="K206" s="325" t="s">
        <v>78</v>
      </c>
      <c r="L206" s="10">
        <f>'FY 2013 by Agency'!L206*Inflator!$E$6</f>
        <v>0</v>
      </c>
      <c r="M206" s="325" t="s">
        <v>78</v>
      </c>
      <c r="N206" s="325" t="s">
        <v>78</v>
      </c>
      <c r="O206" s="10">
        <f>'FY 2013 by Agency'!O206*Inflator!$E$7</f>
        <v>26382.641323477645</v>
      </c>
      <c r="P206" s="69">
        <f t="shared" si="234"/>
        <v>26382.641323477645</v>
      </c>
      <c r="Q206" s="60" t="s">
        <v>78</v>
      </c>
      <c r="R206" s="52">
        <f>'FY 2013 by Agency'!R206*Inflator!$E$8</f>
        <v>28344.348947725728</v>
      </c>
      <c r="S206" s="52">
        <f t="shared" si="219"/>
        <v>1961.7076242480834</v>
      </c>
      <c r="T206" s="58">
        <f t="shared" si="220"/>
        <v>7.4355997953183706E-2</v>
      </c>
      <c r="U206" s="52">
        <f>'FY 2013 by Agency'!U206*Inflator!$E$9</f>
        <v>24665.91976127321</v>
      </c>
      <c r="V206" s="52">
        <f t="shared" si="235"/>
        <v>-3678.4291864525185</v>
      </c>
      <c r="W206" s="58">
        <f>V206/R206</f>
        <v>-0.12977645714270905</v>
      </c>
      <c r="X206" s="52">
        <f>'FY 2013 by Agency'!X206*Inflator!$E$10</f>
        <v>32259.958081930774</v>
      </c>
      <c r="Y206" s="39">
        <f t="shared" si="236"/>
        <v>7594.0383206575643</v>
      </c>
      <c r="Z206" s="58">
        <f>Y206/U206</f>
        <v>0.30787574086657832</v>
      </c>
      <c r="AA206" s="52">
        <f>'FY 2013 by Agency'!AA206*Inflator!$E$11</f>
        <v>46583.668047148778</v>
      </c>
      <c r="AB206" s="39">
        <f t="shared" si="221"/>
        <v>14323.709965218004</v>
      </c>
      <c r="AC206" s="58">
        <f t="shared" si="222"/>
        <v>0.44400894535696567</v>
      </c>
      <c r="AD206" s="52" t="e">
        <f>'FY 2013 by Agency'!AD206*Inflator!#REF!</f>
        <v>#REF!</v>
      </c>
      <c r="AE206" s="52">
        <f>'FY 2013 by Agency'!AE206*Inflator!$B$8</f>
        <v>0</v>
      </c>
      <c r="AF206" s="52">
        <f>'FY 2013 by Agency'!AF206*Inflator!$E$12</f>
        <v>46693.757518797</v>
      </c>
      <c r="AG206" s="52">
        <f t="shared" si="223"/>
        <v>110.08947164822166</v>
      </c>
      <c r="AH206" s="58">
        <f t="shared" si="224"/>
        <v>2.36326326936721E-3</v>
      </c>
      <c r="AI206" s="52">
        <f>'FY 2013 by Agency'!AI206*Inflator!$B$8</f>
        <v>0</v>
      </c>
      <c r="AJ206" s="52">
        <f>'FY 2013 by Agency'!AJ206*Inflator!$B$8</f>
        <v>0</v>
      </c>
      <c r="AK206" s="52">
        <f>'FY 2013 by Agency'!AK206</f>
        <v>44605</v>
      </c>
      <c r="AL206" s="52">
        <f>'FY 2013 by Agency'!AL206</f>
        <v>0</v>
      </c>
      <c r="AM206" s="52">
        <f>'FY 2013 by Agency'!AM206</f>
        <v>44605</v>
      </c>
      <c r="AN206" s="52">
        <f>'FY 2013 by Agency'!AN206</f>
        <v>49804</v>
      </c>
      <c r="AO206" s="52">
        <f>'FY 2013 by Agency'!AO206</f>
        <v>49804</v>
      </c>
      <c r="AP206" s="52">
        <f>'FY 2013 by Agency'!AP206</f>
        <v>0</v>
      </c>
      <c r="AQ206" s="52">
        <f>'FY 2013 by Agency'!AQ206</f>
        <v>0</v>
      </c>
      <c r="AR206" s="52">
        <f>'FY 2013 by Agency'!AR206</f>
        <v>0</v>
      </c>
      <c r="AS206" s="52">
        <f>'FY 2013 by Agency'!AS206</f>
        <v>48246.766940000001</v>
      </c>
      <c r="AT206" s="52" t="e">
        <f t="shared" si="225"/>
        <v>#REF!</v>
      </c>
      <c r="AU206" s="58" t="e">
        <f t="shared" si="226"/>
        <v>#REF!</v>
      </c>
      <c r="AV206" s="52">
        <f t="shared" si="227"/>
        <v>1553.0094212030017</v>
      </c>
      <c r="AW206" s="58">
        <f t="shared" si="228"/>
        <v>3.3259465584405443E-2</v>
      </c>
      <c r="AX206" s="282" t="s">
        <v>311</v>
      </c>
      <c r="AY206" s="65">
        <v>49804</v>
      </c>
      <c r="AZ206" s="280">
        <f t="shared" si="229"/>
        <v>0</v>
      </c>
      <c r="BA206" s="280">
        <f t="shared" si="230"/>
        <v>1553.0094212030017</v>
      </c>
      <c r="BB206" s="280">
        <f t="shared" si="231"/>
        <v>48246.766940000001</v>
      </c>
      <c r="BC206" s="58">
        <f t="shared" si="232"/>
        <v>3.3259465584405401E-2</v>
      </c>
      <c r="BI206" s="219">
        <v>49804</v>
      </c>
      <c r="BJ206" s="65">
        <f t="shared" si="237"/>
        <v>0</v>
      </c>
      <c r="BK206" s="65">
        <f t="shared" si="238"/>
        <v>49804</v>
      </c>
      <c r="BL206" s="568">
        <f>'FY 2013 by Agency'!AS206*Inflator!$E$13</f>
        <v>50028.231328080568</v>
      </c>
      <c r="BM206" s="52">
        <f t="shared" si="239"/>
        <v>3334.4738092835687</v>
      </c>
      <c r="BN206" s="51">
        <f t="shared" si="233"/>
        <v>7.1411554487583184E-2</v>
      </c>
      <c r="BO206" s="52">
        <f>'FY 2013 by Agency'!AX206*Inflator!$E$13</f>
        <v>51642.963686298455</v>
      </c>
      <c r="BP206" s="52">
        <f t="shared" si="247"/>
        <v>4949.2061675014556</v>
      </c>
      <c r="BQ206" s="51">
        <f t="shared" si="248"/>
        <v>0.10599288706866453</v>
      </c>
      <c r="BR206" s="52">
        <f>'FY 2013 by Agency'!BE206*Inflator!$E$14</f>
        <v>54401.482830695735</v>
      </c>
      <c r="BS206" s="52">
        <f t="shared" si="249"/>
        <v>2758.5191443972799</v>
      </c>
      <c r="BT206" s="51">
        <f t="shared" si="250"/>
        <v>5.3415198266964503E-2</v>
      </c>
      <c r="BU206" s="52">
        <f>'FY 2013 by Agency'!BL206*Inflator!$E$14</f>
        <v>54401.482830695735</v>
      </c>
      <c r="BV206" s="52">
        <f t="shared" si="240"/>
        <v>4373.2515026151668</v>
      </c>
      <c r="BW206" s="39">
        <v>50036</v>
      </c>
      <c r="BX206" s="39">
        <f>'FY 2013 by Agency'!BW206*Inflator!E15</f>
        <v>50036</v>
      </c>
      <c r="BY206" s="534">
        <v>50036</v>
      </c>
      <c r="BZ206" s="39">
        <f t="shared" si="241"/>
        <v>-4365.4828306957352</v>
      </c>
      <c r="CA206" s="51">
        <f t="shared" si="242"/>
        <v>-8.0245658822971189E-2</v>
      </c>
      <c r="CC206" s="39"/>
    </row>
    <row r="207" spans="1:81" ht="18" customHeight="1">
      <c r="A207" s="59" t="s">
        <v>93</v>
      </c>
      <c r="B207" s="325" t="s">
        <v>78</v>
      </c>
      <c r="C207" s="325" t="s">
        <v>78</v>
      </c>
      <c r="D207" s="325" t="s">
        <v>78</v>
      </c>
      <c r="E207" s="325" t="s">
        <v>78</v>
      </c>
      <c r="F207" s="325" t="s">
        <v>78</v>
      </c>
      <c r="G207" s="325" t="s">
        <v>78</v>
      </c>
      <c r="H207" s="325" t="s">
        <v>78</v>
      </c>
      <c r="I207" s="325" t="s">
        <v>78</v>
      </c>
      <c r="J207" s="325" t="s">
        <v>78</v>
      </c>
      <c r="K207" s="325" t="s">
        <v>78</v>
      </c>
      <c r="L207" s="10">
        <f>'FY 2013 by Agency'!L207*Inflator!$E$6</f>
        <v>0</v>
      </c>
      <c r="M207" s="325" t="s">
        <v>78</v>
      </c>
      <c r="N207" s="325" t="s">
        <v>78</v>
      </c>
      <c r="O207" s="10">
        <f>'FY 2013 by Agency'!O207*Inflator!$E$7</f>
        <v>0</v>
      </c>
      <c r="P207" s="69">
        <f t="shared" si="234"/>
        <v>0</v>
      </c>
      <c r="Q207" s="60" t="s">
        <v>78</v>
      </c>
      <c r="R207" s="52">
        <f>'FY 2013 by Agency'!R207*Inflator!$E$8</f>
        <v>0</v>
      </c>
      <c r="S207" s="52">
        <v>12208</v>
      </c>
      <c r="T207" s="60" t="s">
        <v>78</v>
      </c>
      <c r="U207" s="52">
        <f>'FY 2013 by Agency'!U207*Inflator!$E$9</f>
        <v>0</v>
      </c>
      <c r="V207" s="52">
        <f t="shared" si="235"/>
        <v>0</v>
      </c>
      <c r="W207" s="60" t="s">
        <v>78</v>
      </c>
      <c r="X207" s="52">
        <f>'FY 2013 by Agency'!X207*Inflator!$E$10</f>
        <v>5088.9069545887587</v>
      </c>
      <c r="Y207" s="39">
        <f t="shared" si="236"/>
        <v>5088.9069545887587</v>
      </c>
      <c r="Z207" s="61" t="s">
        <v>127</v>
      </c>
      <c r="AA207" s="52">
        <f>'FY 2013 by Agency'!AA207*Inflator!$E$11</f>
        <v>9323.6616756928979</v>
      </c>
      <c r="AB207" s="39">
        <f t="shared" si="221"/>
        <v>4234.7547211041392</v>
      </c>
      <c r="AC207" s="58">
        <f t="shared" si="222"/>
        <v>0.83215408709439753</v>
      </c>
      <c r="AD207" s="52" t="e">
        <f>'FY 2013 by Agency'!AD207*Inflator!#REF!</f>
        <v>#REF!</v>
      </c>
      <c r="AE207" s="52">
        <f>'FY 2013 by Agency'!AE207*Inflator!$B$8</f>
        <v>0</v>
      </c>
      <c r="AF207" s="52">
        <f>'FY 2013 by Agency'!AF207*Inflator!$E$12</f>
        <v>9167.7869674185476</v>
      </c>
      <c r="AG207" s="52">
        <f t="shared" si="223"/>
        <v>-155.87470827435027</v>
      </c>
      <c r="AH207" s="58">
        <f t="shared" si="224"/>
        <v>-1.6718185804695265E-2</v>
      </c>
      <c r="AI207" s="52">
        <f>'FY 2013 by Agency'!AI207*Inflator!$B$8</f>
        <v>0</v>
      </c>
      <c r="AJ207" s="52">
        <f>'FY 2013 by Agency'!AJ207*Inflator!$B$8</f>
        <v>0</v>
      </c>
      <c r="AK207" s="52">
        <f>'FY 2013 by Agency'!AK207</f>
        <v>8613</v>
      </c>
      <c r="AL207" s="52">
        <f>'FY 2013 by Agency'!AL207</f>
        <v>0</v>
      </c>
      <c r="AM207" s="52">
        <f>'FY 2013 by Agency'!AM207</f>
        <v>8613</v>
      </c>
      <c r="AN207" s="52">
        <f>'FY 2013 by Agency'!AN207</f>
        <v>8613</v>
      </c>
      <c r="AO207" s="52">
        <f>'FY 2013 by Agency'!AO207</f>
        <v>8613</v>
      </c>
      <c r="AP207" s="52">
        <f>'FY 2013 by Agency'!AP207</f>
        <v>0</v>
      </c>
      <c r="AQ207" s="52">
        <f>'FY 2013 by Agency'!AQ207</f>
        <v>0</v>
      </c>
      <c r="AR207" s="52">
        <f>'FY 2013 by Agency'!AR207</f>
        <v>0</v>
      </c>
      <c r="AS207" s="52">
        <f>'FY 2013 by Agency'!AS207</f>
        <v>8612.9629999999997</v>
      </c>
      <c r="AT207" s="52" t="e">
        <f t="shared" si="225"/>
        <v>#REF!</v>
      </c>
      <c r="AU207" s="58" t="e">
        <f t="shared" si="226"/>
        <v>#REF!</v>
      </c>
      <c r="AV207" s="52">
        <f t="shared" si="227"/>
        <v>-554.82396741854791</v>
      </c>
      <c r="AW207" s="58">
        <f t="shared" si="228"/>
        <v>-6.0518854701831541E-2</v>
      </c>
      <c r="AX207" s="285" t="s">
        <v>303</v>
      </c>
      <c r="AY207" s="65">
        <v>8613</v>
      </c>
      <c r="AZ207" s="280">
        <f t="shared" si="229"/>
        <v>0</v>
      </c>
      <c r="BA207" s="280">
        <f t="shared" si="230"/>
        <v>-554.82396741854791</v>
      </c>
      <c r="BB207" s="280">
        <f t="shared" si="231"/>
        <v>8612.9629999999997</v>
      </c>
      <c r="BC207" s="58">
        <f t="shared" si="232"/>
        <v>-6.0518854701831493E-2</v>
      </c>
      <c r="BI207" s="65">
        <v>8613</v>
      </c>
      <c r="BJ207" s="65">
        <f t="shared" si="237"/>
        <v>0</v>
      </c>
      <c r="BK207" s="65">
        <f t="shared" si="238"/>
        <v>8613</v>
      </c>
      <c r="BL207" s="568">
        <f>'FY 2013 by Agency'!AS207*Inflator!$E$13</f>
        <v>8930.9881824839813</v>
      </c>
      <c r="BM207" s="52">
        <f t="shared" si="239"/>
        <v>-236.79878493456636</v>
      </c>
      <c r="BN207" s="51">
        <f t="shared" si="233"/>
        <v>-2.5829437984993212E-2</v>
      </c>
      <c r="BO207" s="52">
        <f>'FY 2013 by Agency'!AX207*Inflator!$E$13</f>
        <v>8931.0265486725675</v>
      </c>
      <c r="BP207" s="52">
        <f t="shared" si="247"/>
        <v>-236.76041874598013</v>
      </c>
      <c r="BQ207" s="51">
        <f t="shared" si="248"/>
        <v>-2.5825253094056873E-2</v>
      </c>
      <c r="BR207" s="52">
        <f>'FY 2013 by Agency'!BE207*Inflator!$E$14</f>
        <v>8747.135861451181</v>
      </c>
      <c r="BS207" s="52">
        <f t="shared" si="249"/>
        <v>-183.89068722138654</v>
      </c>
      <c r="BT207" s="51">
        <f t="shared" si="250"/>
        <v>-2.0590095239244193E-2</v>
      </c>
      <c r="BU207" s="52">
        <f>'FY 2013 by Agency'!BL207*Inflator!$E$14</f>
        <v>8747.135861451181</v>
      </c>
      <c r="BV207" s="52">
        <f t="shared" si="240"/>
        <v>-183.85232103280032</v>
      </c>
      <c r="BW207" s="39">
        <v>8626</v>
      </c>
      <c r="BX207" s="39">
        <f>'FY 2013 by Agency'!BW207*Inflator!E15</f>
        <v>8626</v>
      </c>
      <c r="BY207" s="534">
        <v>8626</v>
      </c>
      <c r="BZ207" s="39">
        <f t="shared" si="241"/>
        <v>-121.13586145118097</v>
      </c>
      <c r="CA207" s="51">
        <f t="shared" si="242"/>
        <v>-1.3848631525780841E-2</v>
      </c>
      <c r="CC207" s="39"/>
    </row>
    <row r="208" spans="1:81" ht="18" customHeight="1">
      <c r="A208" s="57" t="s">
        <v>79</v>
      </c>
      <c r="B208" s="325" t="s">
        <v>78</v>
      </c>
      <c r="C208" s="325" t="s">
        <v>78</v>
      </c>
      <c r="D208" s="325" t="s">
        <v>78</v>
      </c>
      <c r="E208" s="325" t="s">
        <v>78</v>
      </c>
      <c r="F208" s="325" t="s">
        <v>78</v>
      </c>
      <c r="G208" s="325" t="s">
        <v>78</v>
      </c>
      <c r="H208" s="325" t="s">
        <v>78</v>
      </c>
      <c r="I208" s="325" t="s">
        <v>78</v>
      </c>
      <c r="J208" s="325" t="s">
        <v>78</v>
      </c>
      <c r="K208" s="325" t="s">
        <v>78</v>
      </c>
      <c r="L208" s="10">
        <f>'FY 2013 by Agency'!L208*Inflator!$E$6</f>
        <v>0</v>
      </c>
      <c r="M208" s="325" t="s">
        <v>78</v>
      </c>
      <c r="N208" s="325" t="s">
        <v>78</v>
      </c>
      <c r="O208" s="10">
        <f>'FY 2013 by Agency'!O208*Inflator!$E$7</f>
        <v>448.52164730728612</v>
      </c>
      <c r="P208" s="69">
        <f t="shared" si="234"/>
        <v>448.52164730728612</v>
      </c>
      <c r="Q208" s="60" t="s">
        <v>78</v>
      </c>
      <c r="R208" s="52">
        <f>'FY 2013 by Agency'!R208*Inflator!$E$8</f>
        <v>0</v>
      </c>
      <c r="S208" s="52">
        <f t="shared" ref="S208:S222" si="251">R208-O208</f>
        <v>-448.52164730728612</v>
      </c>
      <c r="T208" s="58">
        <f>S208/O208</f>
        <v>-1</v>
      </c>
      <c r="U208" s="52">
        <f>'FY 2013 by Agency'!U208*Inflator!$E$9</f>
        <v>0</v>
      </c>
      <c r="V208" s="52">
        <f t="shared" si="235"/>
        <v>0</v>
      </c>
      <c r="W208" s="60" t="s">
        <v>78</v>
      </c>
      <c r="X208" s="52">
        <f>'FY 2013 by Agency'!X208*Inflator!$E$10</f>
        <v>0</v>
      </c>
      <c r="Y208" s="39">
        <f t="shared" si="236"/>
        <v>0</v>
      </c>
      <c r="Z208" s="61" t="s">
        <v>127</v>
      </c>
      <c r="AA208" s="52">
        <f>'FY 2013 by Agency'!AA208*Inflator!$E$11</f>
        <v>0</v>
      </c>
      <c r="AB208" s="39">
        <f t="shared" si="221"/>
        <v>0</v>
      </c>
      <c r="AC208" s="58" t="e">
        <f t="shared" si="222"/>
        <v>#DIV/0!</v>
      </c>
      <c r="AD208" s="52" t="e">
        <f>'FY 2013 by Agency'!AD208*Inflator!#REF!</f>
        <v>#REF!</v>
      </c>
      <c r="AE208" s="52">
        <f>'FY 2013 by Agency'!AE208*Inflator!$B$8</f>
        <v>0</v>
      </c>
      <c r="AF208" s="52">
        <f>'FY 2013 by Agency'!AF208*Inflator!$E$12</f>
        <v>0</v>
      </c>
      <c r="AG208" s="52">
        <f t="shared" si="223"/>
        <v>0</v>
      </c>
      <c r="AH208" s="58" t="e">
        <f t="shared" si="224"/>
        <v>#DIV/0!</v>
      </c>
      <c r="AI208" s="52">
        <f>'FY 2013 by Agency'!AI208*Inflator!$B$8</f>
        <v>0</v>
      </c>
      <c r="AJ208" s="52">
        <f>'FY 2013 by Agency'!AJ208*Inflator!$B$8</f>
        <v>0</v>
      </c>
      <c r="AK208" s="52">
        <f>'FY 2013 by Agency'!AK208</f>
        <v>0</v>
      </c>
      <c r="AL208" s="52">
        <f>'FY 2013 by Agency'!AL208</f>
        <v>0</v>
      </c>
      <c r="AM208" s="52">
        <f>'FY 2013 by Agency'!AM208</f>
        <v>0</v>
      </c>
      <c r="AN208" s="52">
        <f>'FY 2013 by Agency'!AN208</f>
        <v>0</v>
      </c>
      <c r="AO208" s="52">
        <f>'FY 2013 by Agency'!AO208</f>
        <v>0</v>
      </c>
      <c r="AP208" s="52">
        <f>'FY 2013 by Agency'!AP208</f>
        <v>0</v>
      </c>
      <c r="AQ208" s="52">
        <f>'FY 2013 by Agency'!AQ208</f>
        <v>0</v>
      </c>
      <c r="AR208" s="52">
        <f>'FY 2013 by Agency'!AR208</f>
        <v>0</v>
      </c>
      <c r="AS208" s="52">
        <f>'FY 2013 by Agency'!AS208</f>
        <v>0</v>
      </c>
      <c r="AT208" s="52" t="e">
        <f t="shared" si="225"/>
        <v>#REF!</v>
      </c>
      <c r="AU208" s="58" t="e">
        <f t="shared" si="226"/>
        <v>#REF!</v>
      </c>
      <c r="AV208" s="52">
        <f t="shared" si="227"/>
        <v>0</v>
      </c>
      <c r="AW208" s="58" t="e">
        <f t="shared" si="228"/>
        <v>#DIV/0!</v>
      </c>
      <c r="AX208" s="282" t="s">
        <v>312</v>
      </c>
      <c r="AY208" s="65"/>
      <c r="AZ208" s="280"/>
      <c r="BA208" s="280"/>
      <c r="BB208" s="280"/>
      <c r="BC208" s="58"/>
      <c r="BI208" s="65"/>
      <c r="BJ208" s="65">
        <f t="shared" si="237"/>
        <v>0</v>
      </c>
      <c r="BK208" s="65">
        <f t="shared" si="238"/>
        <v>0</v>
      </c>
      <c r="BL208" s="568">
        <f>'FY 2013 by Agency'!AS208*Inflator!$E$13</f>
        <v>0</v>
      </c>
      <c r="BM208" s="52">
        <f t="shared" si="239"/>
        <v>0</v>
      </c>
      <c r="BN208" s="51" t="e">
        <f t="shared" si="233"/>
        <v>#DIV/0!</v>
      </c>
      <c r="BO208" s="52">
        <f>'FY 2013 by Agency'!AX208*Inflator!$E$13</f>
        <v>0</v>
      </c>
      <c r="BP208" s="52">
        <f t="shared" si="247"/>
        <v>0</v>
      </c>
      <c r="BQ208" s="51" t="e">
        <f t="shared" si="248"/>
        <v>#DIV/0!</v>
      </c>
      <c r="BR208" s="52">
        <f>'FY 2013 by Agency'!BE208*Inflator!$E$14</f>
        <v>0</v>
      </c>
      <c r="BS208" s="52">
        <f t="shared" si="249"/>
        <v>0</v>
      </c>
      <c r="BT208" s="51" t="e">
        <f t="shared" si="250"/>
        <v>#DIV/0!</v>
      </c>
      <c r="BU208" s="52">
        <f>'FY 2013 by Agency'!BL208*Inflator!$E$14</f>
        <v>0</v>
      </c>
      <c r="BV208" s="52">
        <f t="shared" si="240"/>
        <v>0</v>
      </c>
      <c r="BW208" s="39">
        <v>0</v>
      </c>
      <c r="BX208" s="39">
        <f>'FY 2013 by Agency'!BW208*Inflator!E15</f>
        <v>0</v>
      </c>
      <c r="BY208" s="534"/>
      <c r="BZ208" s="39">
        <f t="shared" si="241"/>
        <v>0</v>
      </c>
      <c r="CA208" s="51" t="e">
        <f t="shared" si="242"/>
        <v>#DIV/0!</v>
      </c>
      <c r="CC208" s="39"/>
    </row>
    <row r="209" spans="1:81" ht="18" customHeight="1">
      <c r="A209" s="57" t="s">
        <v>146</v>
      </c>
      <c r="B209" s="325" t="s">
        <v>78</v>
      </c>
      <c r="C209" s="325" t="s">
        <v>78</v>
      </c>
      <c r="D209" s="325" t="s">
        <v>78</v>
      </c>
      <c r="E209" s="325" t="s">
        <v>78</v>
      </c>
      <c r="F209" s="325" t="s">
        <v>78</v>
      </c>
      <c r="G209" s="325" t="s">
        <v>78</v>
      </c>
      <c r="H209" s="325" t="s">
        <v>78</v>
      </c>
      <c r="I209" s="325" t="s">
        <v>78</v>
      </c>
      <c r="J209" s="325" t="s">
        <v>78</v>
      </c>
      <c r="K209" s="325" t="s">
        <v>78</v>
      </c>
      <c r="L209" s="10">
        <f>'FY 2013 by Agency'!L209*Inflator!$E$6</f>
        <v>0</v>
      </c>
      <c r="M209" s="325" t="s">
        <v>78</v>
      </c>
      <c r="N209" s="325" t="s">
        <v>78</v>
      </c>
      <c r="O209" s="10">
        <f>'FY 2013 by Agency'!O209*Inflator!$E$7</f>
        <v>24578.986272439277</v>
      </c>
      <c r="P209" s="69">
        <f t="shared" si="234"/>
        <v>24578.986272439277</v>
      </c>
      <c r="Q209" s="60" t="s">
        <v>78</v>
      </c>
      <c r="R209" s="52">
        <f>'FY 2013 by Agency'!R209*Inflator!$E$8</f>
        <v>305685.04887983704</v>
      </c>
      <c r="S209" s="52">
        <f t="shared" si="251"/>
        <v>281106.06260739773</v>
      </c>
      <c r="T209" s="58">
        <f>S209/O209</f>
        <v>11.436845258447679</v>
      </c>
      <c r="U209" s="52">
        <f>'FY 2013 by Agency'!U209*Inflator!$E$9</f>
        <v>133915.67572944297</v>
      </c>
      <c r="V209" s="52">
        <f t="shared" si="235"/>
        <v>-171769.37315039407</v>
      </c>
      <c r="W209" s="60">
        <f>V209/R209</f>
        <v>-0.56191617411395078</v>
      </c>
      <c r="X209" s="52">
        <f>'FY 2013 by Agency'!X209*Inflator!$E$10</f>
        <v>151865.45760558909</v>
      </c>
      <c r="Y209" s="39">
        <f t="shared" si="236"/>
        <v>17949.781876146124</v>
      </c>
      <c r="Z209" s="58">
        <f>Y209/U209</f>
        <v>0.13403794423896298</v>
      </c>
      <c r="AA209" s="52">
        <f>'FY 2013 by Agency'!AA209*Inflator!$E$11</f>
        <v>135328.9493469258</v>
      </c>
      <c r="AB209" s="39">
        <f t="shared" si="221"/>
        <v>-16536.508258663293</v>
      </c>
      <c r="AC209" s="58">
        <f t="shared" si="222"/>
        <v>-0.10888920047645319</v>
      </c>
      <c r="AD209" s="52" t="e">
        <f>'FY 2013 by Agency'!AD209*Inflator!#REF!</f>
        <v>#REF!</v>
      </c>
      <c r="AE209" s="52">
        <f>'FY 2013 by Agency'!AE209*Inflator!$B$8</f>
        <v>0</v>
      </c>
      <c r="AF209" s="52">
        <f>'FY 2013 by Agency'!AF209*Inflator!$E$12</f>
        <v>15896.721177944864</v>
      </c>
      <c r="AG209" s="52">
        <f t="shared" si="223"/>
        <v>-119432.22816898093</v>
      </c>
      <c r="AH209" s="58">
        <f t="shared" si="224"/>
        <v>-0.88253273778700192</v>
      </c>
      <c r="AI209" s="52">
        <f>'FY 2013 by Agency'!AI209*Inflator!$B$8</f>
        <v>0</v>
      </c>
      <c r="AJ209" s="52">
        <f>'FY 2013 by Agency'!AJ209*Inflator!$B$8</f>
        <v>0</v>
      </c>
      <c r="AK209" s="52">
        <f>'FY 2013 by Agency'!AK209</f>
        <v>0</v>
      </c>
      <c r="AL209" s="52">
        <f>'FY 2013 by Agency'!AL209</f>
        <v>0</v>
      </c>
      <c r="AM209" s="52">
        <f>'FY 2013 by Agency'!AM209</f>
        <v>0</v>
      </c>
      <c r="AN209" s="52">
        <f>'FY 2013 by Agency'!AN209</f>
        <v>0</v>
      </c>
      <c r="AO209" s="52">
        <f>'FY 2013 by Agency'!AO209</f>
        <v>7900</v>
      </c>
      <c r="AP209" s="52">
        <f>'FY 2013 by Agency'!AP209</f>
        <v>0</v>
      </c>
      <c r="AQ209" s="52">
        <f>'FY 2013 by Agency'!AQ209</f>
        <v>0</v>
      </c>
      <c r="AR209" s="52">
        <f>'FY 2013 by Agency'!AR209</f>
        <v>0</v>
      </c>
      <c r="AS209" s="52">
        <f>'FY 2013 by Agency'!AS209</f>
        <v>18696.287</v>
      </c>
      <c r="AT209" s="52" t="e">
        <f t="shared" si="225"/>
        <v>#REF!</v>
      </c>
      <c r="AU209" s="58" t="e">
        <f t="shared" si="226"/>
        <v>#REF!</v>
      </c>
      <c r="AV209" s="52">
        <f t="shared" si="227"/>
        <v>2799.5658220551359</v>
      </c>
      <c r="AW209" s="58">
        <f t="shared" si="228"/>
        <v>0.17610963863033957</v>
      </c>
      <c r="AY209" s="219">
        <v>7900</v>
      </c>
      <c r="AZ209" s="280">
        <f t="shared" si="229"/>
        <v>0</v>
      </c>
      <c r="BA209" s="280">
        <f t="shared" si="230"/>
        <v>2799.5658220551359</v>
      </c>
      <c r="BB209" s="280">
        <f t="shared" si="231"/>
        <v>18696.287</v>
      </c>
      <c r="BC209" s="58">
        <f t="shared" si="232"/>
        <v>0.17610963863033957</v>
      </c>
      <c r="BI209" s="219">
        <v>12071</v>
      </c>
      <c r="BJ209" s="65">
        <f t="shared" si="237"/>
        <v>4171</v>
      </c>
      <c r="BK209" s="65">
        <f t="shared" si="238"/>
        <v>12071</v>
      </c>
      <c r="BL209" s="568">
        <f>'FY 2013 by Agency'!AS209*Inflator!$E$13</f>
        <v>19386.628997863903</v>
      </c>
      <c r="BM209" s="52">
        <f t="shared" si="239"/>
        <v>3489.907819919039</v>
      </c>
      <c r="BN209" s="51">
        <f t="shared" si="233"/>
        <v>0.21953632958983657</v>
      </c>
      <c r="BO209" s="52">
        <f>'FY 2013 by Agency'!AX209*Inflator!$E$13</f>
        <v>12516.709795544708</v>
      </c>
      <c r="BP209" s="52">
        <f t="shared" si="247"/>
        <v>-3380.0113824001564</v>
      </c>
      <c r="BQ209" s="51">
        <f t="shared" si="248"/>
        <v>-0.21262317836269215</v>
      </c>
      <c r="BR209" s="52">
        <f>'FY 2013 by Agency'!BE209*Inflator!$E$14</f>
        <v>37995.910421021203</v>
      </c>
      <c r="BS209" s="52">
        <f t="shared" si="249"/>
        <v>25479.200625476493</v>
      </c>
      <c r="BT209" s="51">
        <f t="shared" si="250"/>
        <v>2.035614873370776</v>
      </c>
      <c r="BU209" s="52">
        <f>'FY 2013 by Agency'!BL209*Inflator!$E$14</f>
        <v>37995.910421021203</v>
      </c>
      <c r="BV209" s="52">
        <f t="shared" si="240"/>
        <v>18609.281423157299</v>
      </c>
      <c r="BW209" s="39">
        <v>31533</v>
      </c>
      <c r="BX209" s="39">
        <f>'FY 2013 by Agency'!BW209*Inflator!E15</f>
        <v>31533</v>
      </c>
      <c r="BY209" s="534">
        <v>35803</v>
      </c>
      <c r="BZ209" s="39">
        <f t="shared" si="241"/>
        <v>-6462.9104210212026</v>
      </c>
      <c r="CA209" s="51">
        <f t="shared" si="242"/>
        <v>-0.17009489572450417</v>
      </c>
      <c r="CC209" s="39"/>
    </row>
    <row r="210" spans="1:81" ht="18" customHeight="1">
      <c r="A210" s="57" t="s">
        <v>40</v>
      </c>
      <c r="B210" s="322">
        <f>'FY 2013 by Agency'!B210*Inflator!$E$2</f>
        <v>0</v>
      </c>
      <c r="C210" s="322">
        <f>'FY 2013 by Agency'!C210*Inflator!$E$3</f>
        <v>0</v>
      </c>
      <c r="D210" s="322">
        <f t="shared" si="243"/>
        <v>0</v>
      </c>
      <c r="E210" s="325" t="s">
        <v>78</v>
      </c>
      <c r="F210" s="10">
        <f>'FY 2013 by Agency'!F210*Inflator!$E$4</f>
        <v>0</v>
      </c>
      <c r="G210" s="10">
        <f t="shared" si="244"/>
        <v>0</v>
      </c>
      <c r="H210" s="325" t="s">
        <v>78</v>
      </c>
      <c r="I210" s="10">
        <f>'FY 2013 by Agency'!I210*Inflator!$E$5</f>
        <v>0</v>
      </c>
      <c r="J210" s="10">
        <f t="shared" si="245"/>
        <v>0</v>
      </c>
      <c r="K210" s="325" t="s">
        <v>78</v>
      </c>
      <c r="L210" s="10">
        <f>'FY 2013 by Agency'!L210*Inflator!$E$6</f>
        <v>0</v>
      </c>
      <c r="M210" s="10">
        <f t="shared" si="246"/>
        <v>0</v>
      </c>
      <c r="N210" s="325" t="s">
        <v>78</v>
      </c>
      <c r="O210" s="10">
        <f>'FY 2013 by Agency'!O210*Inflator!$E$7</f>
        <v>0</v>
      </c>
      <c r="P210" s="69">
        <f t="shared" si="234"/>
        <v>0</v>
      </c>
      <c r="Q210" s="60" t="s">
        <v>78</v>
      </c>
      <c r="R210" s="52">
        <f>'FY 2013 by Agency'!R210*Inflator!$E$8</f>
        <v>0</v>
      </c>
      <c r="S210" s="52">
        <f t="shared" si="251"/>
        <v>0</v>
      </c>
      <c r="T210" s="60" t="s">
        <v>78</v>
      </c>
      <c r="U210" s="52">
        <f>'FY 2013 by Agency'!U210*Inflator!$E$9</f>
        <v>0</v>
      </c>
      <c r="V210" s="52">
        <f t="shared" si="235"/>
        <v>0</v>
      </c>
      <c r="W210" s="60" t="s">
        <v>78</v>
      </c>
      <c r="X210" s="52">
        <f>'FY 2013 by Agency'!X210*Inflator!$E$10</f>
        <v>0</v>
      </c>
      <c r="Y210" s="39">
        <f t="shared" si="236"/>
        <v>0</v>
      </c>
      <c r="Z210" s="61" t="s">
        <v>127</v>
      </c>
      <c r="AA210" s="52">
        <f>'FY 2013 by Agency'!AA210*Inflator!$E$11</f>
        <v>0</v>
      </c>
      <c r="AB210" s="39">
        <f t="shared" si="221"/>
        <v>0</v>
      </c>
      <c r="AC210" s="58" t="e">
        <f t="shared" si="222"/>
        <v>#DIV/0!</v>
      </c>
      <c r="AD210" s="52" t="e">
        <f>'FY 2013 by Agency'!AD210*Inflator!#REF!</f>
        <v>#REF!</v>
      </c>
      <c r="AE210" s="52">
        <f>'FY 2013 by Agency'!AE210*Inflator!$B$8</f>
        <v>0</v>
      </c>
      <c r="AF210" s="52">
        <f>'FY 2013 by Agency'!AF210*Inflator!$E$12</f>
        <v>0</v>
      </c>
      <c r="AG210" s="52">
        <f t="shared" si="223"/>
        <v>0</v>
      </c>
      <c r="AH210" s="58" t="e">
        <f t="shared" si="224"/>
        <v>#DIV/0!</v>
      </c>
      <c r="AI210" s="52">
        <f>'FY 2013 by Agency'!AI210*Inflator!$B$8</f>
        <v>0</v>
      </c>
      <c r="AJ210" s="52">
        <f>'FY 2013 by Agency'!AJ210*Inflator!$B$8</f>
        <v>0</v>
      </c>
      <c r="AK210" s="52">
        <f>'FY 2013 by Agency'!AK210</f>
        <v>0</v>
      </c>
      <c r="AL210" s="52">
        <f>'FY 2013 by Agency'!AL210</f>
        <v>0</v>
      </c>
      <c r="AM210" s="52">
        <f>'FY 2013 by Agency'!AM210</f>
        <v>0</v>
      </c>
      <c r="AN210" s="52">
        <f>'FY 2013 by Agency'!AN210</f>
        <v>0</v>
      </c>
      <c r="AO210" s="52">
        <f>'FY 2013 by Agency'!AO210</f>
        <v>0</v>
      </c>
      <c r="AP210" s="52">
        <f>'FY 2013 by Agency'!AP210</f>
        <v>0</v>
      </c>
      <c r="AQ210" s="52">
        <f>'FY 2013 by Agency'!AQ210</f>
        <v>0</v>
      </c>
      <c r="AR210" s="52">
        <f>'FY 2013 by Agency'!AR210</f>
        <v>0</v>
      </c>
      <c r="AS210" s="52">
        <f>'FY 2013 by Agency'!AS210</f>
        <v>0</v>
      </c>
      <c r="AT210" s="52" t="e">
        <f t="shared" si="225"/>
        <v>#REF!</v>
      </c>
      <c r="AU210" s="58" t="e">
        <f t="shared" si="226"/>
        <v>#REF!</v>
      </c>
      <c r="AV210" s="52">
        <f t="shared" si="227"/>
        <v>0</v>
      </c>
      <c r="AW210" s="58" t="e">
        <f t="shared" si="228"/>
        <v>#DIV/0!</v>
      </c>
      <c r="AZ210" s="280">
        <f t="shared" si="229"/>
        <v>0</v>
      </c>
      <c r="BA210" s="280">
        <f t="shared" si="230"/>
        <v>0</v>
      </c>
      <c r="BB210" s="280">
        <f t="shared" si="231"/>
        <v>0</v>
      </c>
      <c r="BC210" s="58" t="e">
        <f t="shared" si="232"/>
        <v>#DIV/0!</v>
      </c>
      <c r="BI210" s="65"/>
      <c r="BJ210" s="65">
        <f t="shared" si="237"/>
        <v>0</v>
      </c>
      <c r="BK210" s="65">
        <f t="shared" si="238"/>
        <v>0</v>
      </c>
      <c r="BL210" s="568">
        <f>'FY 2013 by Agency'!AS210*Inflator!$E$13</f>
        <v>0</v>
      </c>
      <c r="BM210" s="52">
        <f t="shared" si="239"/>
        <v>0</v>
      </c>
      <c r="BN210" s="51" t="e">
        <f t="shared" si="233"/>
        <v>#DIV/0!</v>
      </c>
      <c r="BO210" s="52">
        <f>'FY 2013 by Agency'!AX210*Inflator!$E$13</f>
        <v>0</v>
      </c>
      <c r="BP210" s="52">
        <f t="shared" si="247"/>
        <v>0</v>
      </c>
      <c r="BQ210" s="51" t="e">
        <f t="shared" si="248"/>
        <v>#DIV/0!</v>
      </c>
      <c r="BR210" s="52">
        <f>'FY 2013 by Agency'!BE210*Inflator!$E$14</f>
        <v>0</v>
      </c>
      <c r="BS210" s="52">
        <f t="shared" si="249"/>
        <v>0</v>
      </c>
      <c r="BT210" s="51" t="e">
        <f t="shared" si="250"/>
        <v>#DIV/0!</v>
      </c>
      <c r="BU210" s="52">
        <f>'FY 2013 by Agency'!BL210*Inflator!$E$14</f>
        <v>0</v>
      </c>
      <c r="BV210" s="52">
        <f t="shared" si="240"/>
        <v>0</v>
      </c>
      <c r="BW210" s="39">
        <v>0</v>
      </c>
      <c r="BX210" s="39">
        <f>'FY 2013 by Agency'!BW210*Inflator!E15</f>
        <v>0</v>
      </c>
      <c r="BY210" s="534"/>
      <c r="BZ210" s="39">
        <f t="shared" si="241"/>
        <v>0</v>
      </c>
      <c r="CA210" s="51" t="e">
        <f t="shared" si="242"/>
        <v>#DIV/0!</v>
      </c>
      <c r="CC210" s="39"/>
    </row>
    <row r="211" spans="1:81" s="63" customFormat="1" ht="18" customHeight="1">
      <c r="A211" s="53" t="s">
        <v>75</v>
      </c>
      <c r="B211" s="325" t="s">
        <v>78</v>
      </c>
      <c r="C211" s="325" t="s">
        <v>78</v>
      </c>
      <c r="D211" s="325" t="s">
        <v>78</v>
      </c>
      <c r="E211" s="325" t="s">
        <v>78</v>
      </c>
      <c r="F211" s="325" t="s">
        <v>78</v>
      </c>
      <c r="G211" s="325" t="s">
        <v>78</v>
      </c>
      <c r="H211" s="325" t="s">
        <v>78</v>
      </c>
      <c r="I211" s="325" t="s">
        <v>78</v>
      </c>
      <c r="J211" s="325" t="s">
        <v>78</v>
      </c>
      <c r="K211" s="325" t="s">
        <v>78</v>
      </c>
      <c r="L211" s="10">
        <f>'FY 2013 by Agency'!L211*Inflator!$E$6</f>
        <v>0</v>
      </c>
      <c r="M211" s="325" t="s">
        <v>78</v>
      </c>
      <c r="N211" s="325" t="s">
        <v>78</v>
      </c>
      <c r="O211" s="10">
        <f>'FY 2013 by Agency'!O211*Inflator!$E$7</f>
        <v>5902.5448785638855</v>
      </c>
      <c r="P211" s="69">
        <f t="shared" si="234"/>
        <v>5902.5448785638855</v>
      </c>
      <c r="Q211" s="60" t="s">
        <v>78</v>
      </c>
      <c r="R211" s="52">
        <f>'FY 2013 by Agency'!R211*Inflator!$E$8</f>
        <v>10606.927359131025</v>
      </c>
      <c r="S211" s="52">
        <f t="shared" si="251"/>
        <v>4704.3824805671393</v>
      </c>
      <c r="T211" s="58">
        <f>S211/O211</f>
        <v>0.79700918457255943</v>
      </c>
      <c r="U211" s="52">
        <f>'FY 2013 by Agency'!U211*Inflator!$E$9</f>
        <v>7217.3700265251982</v>
      </c>
      <c r="V211" s="52">
        <f t="shared" si="235"/>
        <v>-3389.5573326058266</v>
      </c>
      <c r="W211" s="60">
        <f>V211/R211</f>
        <v>-0.31956071893788446</v>
      </c>
      <c r="X211" s="52">
        <f>'FY 2013 by Agency'!X211*Inflator!$E$10</f>
        <v>17498.243251825977</v>
      </c>
      <c r="Y211" s="39">
        <f t="shared" si="236"/>
        <v>10280.87322530078</v>
      </c>
      <c r="Z211" s="58">
        <f>Y211/U211</f>
        <v>1.4244625379489522</v>
      </c>
      <c r="AA211" s="52">
        <f>'FY 2013 by Agency'!AA211*Inflator!$E$11</f>
        <v>16237.655304237021</v>
      </c>
      <c r="AB211" s="39">
        <f t="shared" si="221"/>
        <v>-1260.587947588956</v>
      </c>
      <c r="AC211" s="58">
        <f t="shared" si="222"/>
        <v>-7.2040828867629955E-2</v>
      </c>
      <c r="AD211" s="52" t="e">
        <f>'FY 2013 by Agency'!AD211*Inflator!#REF!</f>
        <v>#REF!</v>
      </c>
      <c r="AE211" s="52">
        <f>'FY 2013 by Agency'!AE211*Inflator!$B$8</f>
        <v>0</v>
      </c>
      <c r="AF211" s="52">
        <f>'FY 2013 by Agency'!AF211*Inflator!$E$12</f>
        <v>6934.3897243107776</v>
      </c>
      <c r="AG211" s="52">
        <f t="shared" si="223"/>
        <v>-9303.2655799262429</v>
      </c>
      <c r="AH211" s="58">
        <f t="shared" si="224"/>
        <v>-0.57294390142021723</v>
      </c>
      <c r="AI211" s="52">
        <f>'FY 2013 by Agency'!AI211*Inflator!$B$8</f>
        <v>0</v>
      </c>
      <c r="AJ211" s="52">
        <f>'FY 2013 by Agency'!AJ211*Inflator!$B$8</f>
        <v>0</v>
      </c>
      <c r="AK211" s="52">
        <f>'FY 2013 by Agency'!AK211</f>
        <v>15000</v>
      </c>
      <c r="AL211" s="52">
        <f>'FY 2013 by Agency'!AL211</f>
        <v>0</v>
      </c>
      <c r="AM211" s="52">
        <f>'FY 2013 by Agency'!AM211</f>
        <v>15000</v>
      </c>
      <c r="AN211" s="52">
        <f>'FY 2013 by Agency'!AN211</f>
        <v>15000</v>
      </c>
      <c r="AO211" s="52">
        <f>'FY 2013 by Agency'!AO211</f>
        <v>15000</v>
      </c>
      <c r="AP211" s="52">
        <f>'FY 2013 by Agency'!AP211</f>
        <v>0</v>
      </c>
      <c r="AQ211" s="52">
        <f>'FY 2013 by Agency'!AQ211</f>
        <v>0</v>
      </c>
      <c r="AR211" s="52">
        <f>'FY 2013 by Agency'!AR211</f>
        <v>0</v>
      </c>
      <c r="AS211" s="52">
        <f>'FY 2013 by Agency'!AS211</f>
        <v>5884.4930599999998</v>
      </c>
      <c r="AT211" s="52" t="e">
        <f t="shared" si="225"/>
        <v>#REF!</v>
      </c>
      <c r="AU211" s="58" t="e">
        <f t="shared" si="226"/>
        <v>#REF!</v>
      </c>
      <c r="AV211" s="52">
        <f t="shared" si="227"/>
        <v>-1049.8966643107779</v>
      </c>
      <c r="AW211" s="58">
        <f t="shared" si="228"/>
        <v>-0.15140433492366615</v>
      </c>
      <c r="AX211" s="285" t="s">
        <v>302</v>
      </c>
      <c r="AY211" s="65">
        <v>15000</v>
      </c>
      <c r="AZ211" s="280">
        <f t="shared" si="229"/>
        <v>0</v>
      </c>
      <c r="BA211" s="280">
        <f t="shared" si="230"/>
        <v>-1049.8966643107779</v>
      </c>
      <c r="BB211" s="280">
        <f t="shared" si="231"/>
        <v>5884.4930599999998</v>
      </c>
      <c r="BC211" s="58">
        <f t="shared" si="232"/>
        <v>-0.15140433492366612</v>
      </c>
      <c r="BD211" s="280"/>
      <c r="BE211" s="280"/>
      <c r="BI211" s="80">
        <v>15000</v>
      </c>
      <c r="BJ211" s="65">
        <f t="shared" si="237"/>
        <v>0</v>
      </c>
      <c r="BK211" s="65">
        <f t="shared" si="238"/>
        <v>15000</v>
      </c>
      <c r="BL211" s="568">
        <f>'FY 2013 by Agency'!AS211*Inflator!$E$13</f>
        <v>6101.7721751235895</v>
      </c>
      <c r="BM211" s="52">
        <f t="shared" si="239"/>
        <v>-832.61754918718816</v>
      </c>
      <c r="BN211" s="51">
        <f t="shared" si="233"/>
        <v>-0.12007077512072536</v>
      </c>
      <c r="BO211" s="52">
        <f>'FY 2013 by Agency'!AX211*Inflator!$E$13</f>
        <v>15553.860238022584</v>
      </c>
      <c r="BP211" s="52">
        <f t="shared" si="247"/>
        <v>8619.4705137118071</v>
      </c>
      <c r="BQ211" s="51">
        <f t="shared" si="248"/>
        <v>1.2430034734698319</v>
      </c>
      <c r="BR211" s="52">
        <f>'FY 2013 by Agency'!BE211*Inflator!$E$14</f>
        <v>6087.7873992236491</v>
      </c>
      <c r="BS211" s="52">
        <f t="shared" si="249"/>
        <v>-9466.0728387989348</v>
      </c>
      <c r="BT211" s="51">
        <f t="shared" si="250"/>
        <v>-0.6085995819647656</v>
      </c>
      <c r="BU211" s="69">
        <f>'FY 2013 by Agency'!BL211*Inflator!$E$14</f>
        <v>6087.7873992236491</v>
      </c>
      <c r="BV211" s="52">
        <f t="shared" si="240"/>
        <v>-13.98477589994036</v>
      </c>
      <c r="BW211" s="39">
        <v>6000</v>
      </c>
      <c r="BX211" s="39">
        <f>'FY 2013 by Agency'!BW211*Inflator!E15</f>
        <v>6000</v>
      </c>
      <c r="BY211" s="534">
        <v>6000</v>
      </c>
      <c r="BZ211" s="39">
        <f t="shared" si="241"/>
        <v>-87.787399223649118</v>
      </c>
      <c r="CA211" s="51">
        <f t="shared" si="242"/>
        <v>-1.442024720423783E-2</v>
      </c>
      <c r="CC211" s="39"/>
    </row>
    <row r="212" spans="1:81" s="63" customFormat="1" ht="18" customHeight="1">
      <c r="A212" s="53" t="s">
        <v>81</v>
      </c>
      <c r="B212" s="325" t="s">
        <v>78</v>
      </c>
      <c r="C212" s="325" t="s">
        <v>78</v>
      </c>
      <c r="D212" s="325" t="s">
        <v>78</v>
      </c>
      <c r="E212" s="325" t="s">
        <v>78</v>
      </c>
      <c r="F212" s="325" t="s">
        <v>78</v>
      </c>
      <c r="G212" s="325" t="s">
        <v>78</v>
      </c>
      <c r="H212" s="325" t="s">
        <v>78</v>
      </c>
      <c r="I212" s="325" t="s">
        <v>78</v>
      </c>
      <c r="J212" s="325" t="s">
        <v>78</v>
      </c>
      <c r="K212" s="325" t="s">
        <v>78</v>
      </c>
      <c r="L212" s="10">
        <f>'FY 2013 by Agency'!L212*Inflator!$E$6</f>
        <v>81393.896037804428</v>
      </c>
      <c r="M212" s="325" t="s">
        <v>78</v>
      </c>
      <c r="N212" s="325" t="s">
        <v>78</v>
      </c>
      <c r="O212" s="10">
        <f>'FY 2013 by Agency'!O212*Inflator!$E$7</f>
        <v>0</v>
      </c>
      <c r="P212" s="69">
        <f t="shared" si="234"/>
        <v>-81393.896037804428</v>
      </c>
      <c r="Q212" s="58">
        <f>P212/L212</f>
        <v>-1</v>
      </c>
      <c r="R212" s="52">
        <f>'FY 2013 by Agency'!R212*Inflator!$E$8</f>
        <v>0</v>
      </c>
      <c r="S212" s="52">
        <f t="shared" si="251"/>
        <v>0</v>
      </c>
      <c r="T212" s="60" t="s">
        <v>78</v>
      </c>
      <c r="U212" s="52">
        <f>'FY 2013 by Agency'!U212*Inflator!$E$9</f>
        <v>0</v>
      </c>
      <c r="V212" s="52">
        <f t="shared" si="235"/>
        <v>0</v>
      </c>
      <c r="W212" s="60" t="s">
        <v>78</v>
      </c>
      <c r="X212" s="52">
        <f>'FY 2013 by Agency'!X212*Inflator!$E$10</f>
        <v>0</v>
      </c>
      <c r="Y212" s="39">
        <f t="shared" si="236"/>
        <v>0</v>
      </c>
      <c r="Z212" s="61" t="s">
        <v>127</v>
      </c>
      <c r="AA212" s="52">
        <f>'FY 2013 by Agency'!AA212*Inflator!$E$11</f>
        <v>0</v>
      </c>
      <c r="AB212" s="39">
        <f t="shared" si="221"/>
        <v>0</v>
      </c>
      <c r="AC212" s="58" t="e">
        <f t="shared" si="222"/>
        <v>#DIV/0!</v>
      </c>
      <c r="AD212" s="52" t="e">
        <f>'FY 2013 by Agency'!AD212*Inflator!#REF!</f>
        <v>#REF!</v>
      </c>
      <c r="AE212" s="52">
        <f>'FY 2013 by Agency'!AE212*Inflator!$B$8</f>
        <v>0</v>
      </c>
      <c r="AF212" s="52">
        <f>'FY 2013 by Agency'!AF212*Inflator!$E$12</f>
        <v>0</v>
      </c>
      <c r="AG212" s="52">
        <f t="shared" si="223"/>
        <v>0</v>
      </c>
      <c r="AH212" s="58" t="e">
        <f t="shared" si="224"/>
        <v>#DIV/0!</v>
      </c>
      <c r="AI212" s="52">
        <f>'FY 2013 by Agency'!AI212*Inflator!$B$8</f>
        <v>0</v>
      </c>
      <c r="AJ212" s="52">
        <f>'FY 2013 by Agency'!AJ212*Inflator!$B$8</f>
        <v>0</v>
      </c>
      <c r="AK212" s="52">
        <f>'FY 2013 by Agency'!AK212</f>
        <v>0</v>
      </c>
      <c r="AL212" s="52">
        <f>'FY 2013 by Agency'!AL212</f>
        <v>0</v>
      </c>
      <c r="AM212" s="52">
        <f>'FY 2013 by Agency'!AM212</f>
        <v>0</v>
      </c>
      <c r="AN212" s="52">
        <f>'FY 2013 by Agency'!AN212</f>
        <v>0</v>
      </c>
      <c r="AO212" s="52">
        <f>'FY 2013 by Agency'!AO212</f>
        <v>0</v>
      </c>
      <c r="AP212" s="52">
        <f>'FY 2013 by Agency'!AP212</f>
        <v>0</v>
      </c>
      <c r="AQ212" s="52">
        <f>'FY 2013 by Agency'!AQ212</f>
        <v>0</v>
      </c>
      <c r="AR212" s="52">
        <f>'FY 2013 by Agency'!AR212</f>
        <v>0</v>
      </c>
      <c r="AS212" s="52">
        <f>'FY 2013 by Agency'!AS212</f>
        <v>0</v>
      </c>
      <c r="AT212" s="52" t="e">
        <f t="shared" si="225"/>
        <v>#REF!</v>
      </c>
      <c r="AU212" s="58" t="e">
        <f t="shared" si="226"/>
        <v>#REF!</v>
      </c>
      <c r="AV212" s="52">
        <f t="shared" si="227"/>
        <v>0</v>
      </c>
      <c r="AW212" s="58" t="e">
        <f t="shared" si="228"/>
        <v>#DIV/0!</v>
      </c>
      <c r="AZ212" s="280">
        <f t="shared" si="229"/>
        <v>0</v>
      </c>
      <c r="BA212" s="280">
        <f t="shared" si="230"/>
        <v>0</v>
      </c>
      <c r="BB212" s="280">
        <f t="shared" si="231"/>
        <v>0</v>
      </c>
      <c r="BC212" s="58" t="e">
        <f t="shared" si="232"/>
        <v>#DIV/0!</v>
      </c>
      <c r="BD212" s="280"/>
      <c r="BE212" s="280"/>
      <c r="BI212" s="80"/>
      <c r="BJ212" s="65">
        <f t="shared" si="237"/>
        <v>0</v>
      </c>
      <c r="BK212" s="65">
        <f t="shared" si="238"/>
        <v>0</v>
      </c>
      <c r="BL212" s="568">
        <f>'FY 2013 by Agency'!AS212*Inflator!$E$13</f>
        <v>0</v>
      </c>
      <c r="BM212" s="52">
        <f t="shared" si="239"/>
        <v>0</v>
      </c>
      <c r="BN212" s="51" t="e">
        <f t="shared" si="233"/>
        <v>#DIV/0!</v>
      </c>
      <c r="BO212" s="52">
        <f>'FY 2013 by Agency'!AX212*Inflator!$E$13</f>
        <v>0</v>
      </c>
      <c r="BP212" s="52">
        <f t="shared" si="247"/>
        <v>0</v>
      </c>
      <c r="BQ212" s="51" t="e">
        <f t="shared" si="248"/>
        <v>#DIV/0!</v>
      </c>
      <c r="BR212" s="52">
        <f>'FY 2013 by Agency'!BE212*Inflator!$E$14</f>
        <v>0</v>
      </c>
      <c r="BS212" s="52">
        <f t="shared" si="249"/>
        <v>0</v>
      </c>
      <c r="BT212" s="51" t="e">
        <f t="shared" si="250"/>
        <v>#DIV/0!</v>
      </c>
      <c r="BU212" s="69">
        <f>'FY 2013 by Agency'!BL212*Inflator!$E$14</f>
        <v>0</v>
      </c>
      <c r="BV212" s="52">
        <f t="shared" si="240"/>
        <v>0</v>
      </c>
      <c r="BW212" s="39">
        <v>0</v>
      </c>
      <c r="BX212" s="39">
        <f>'FY 2013 by Agency'!BW212*Inflator!E15</f>
        <v>0</v>
      </c>
      <c r="BY212" s="534"/>
      <c r="BZ212" s="39">
        <f t="shared" si="241"/>
        <v>0</v>
      </c>
      <c r="CA212" s="51" t="e">
        <f t="shared" si="242"/>
        <v>#DIV/0!</v>
      </c>
      <c r="CC212" s="39"/>
    </row>
    <row r="213" spans="1:81" s="63" customFormat="1" ht="18" customHeight="1">
      <c r="A213" s="53" t="s">
        <v>88</v>
      </c>
      <c r="B213" s="325" t="s">
        <v>78</v>
      </c>
      <c r="C213" s="325" t="s">
        <v>78</v>
      </c>
      <c r="D213" s="325" t="s">
        <v>78</v>
      </c>
      <c r="E213" s="325" t="s">
        <v>78</v>
      </c>
      <c r="F213" s="325" t="s">
        <v>78</v>
      </c>
      <c r="G213" s="325" t="s">
        <v>78</v>
      </c>
      <c r="H213" s="325" t="s">
        <v>78</v>
      </c>
      <c r="I213" s="325" t="s">
        <v>78</v>
      </c>
      <c r="J213" s="325" t="s">
        <v>78</v>
      </c>
      <c r="K213" s="325" t="s">
        <v>78</v>
      </c>
      <c r="L213" s="10">
        <f>'FY 2013 by Agency'!L213*Inflator!$E$6</f>
        <v>0</v>
      </c>
      <c r="M213" s="325" t="s">
        <v>78</v>
      </c>
      <c r="N213" s="325" t="s">
        <v>78</v>
      </c>
      <c r="O213" s="10">
        <f>'FY 2013 by Agency'!O213*Inflator!$E$7</f>
        <v>0</v>
      </c>
      <c r="P213" s="69">
        <f t="shared" si="234"/>
        <v>0</v>
      </c>
      <c r="Q213" s="70" t="s">
        <v>78</v>
      </c>
      <c r="R213" s="52">
        <f>'FY 2013 by Agency'!R213*Inflator!$E$8</f>
        <v>159173.11608961303</v>
      </c>
      <c r="S213" s="52">
        <f t="shared" si="251"/>
        <v>159173.11608961303</v>
      </c>
      <c r="T213" s="70" t="s">
        <v>78</v>
      </c>
      <c r="U213" s="52">
        <f>'FY 2013 by Agency'!U213*Inflator!$E$9</f>
        <v>5295.2917771883285</v>
      </c>
      <c r="V213" s="69">
        <f t="shared" si="235"/>
        <v>-153877.82431242469</v>
      </c>
      <c r="W213" s="72">
        <f>V213/R213</f>
        <v>-0.96673249913504777</v>
      </c>
      <c r="X213" s="52">
        <f>'FY 2013 by Agency'!X213*Inflator!$E$10</f>
        <v>119676.71832327725</v>
      </c>
      <c r="Y213" s="39">
        <f t="shared" si="236"/>
        <v>114381.42654608893</v>
      </c>
      <c r="Z213" s="58">
        <f>Y213/U213</f>
        <v>21.600589988040788</v>
      </c>
      <c r="AA213" s="52">
        <f>'FY 2013 by Agency'!AA213*Inflator!$E$11</f>
        <v>87791.589678241493</v>
      </c>
      <c r="AB213" s="39">
        <f t="shared" si="221"/>
        <v>-31885.128645035758</v>
      </c>
      <c r="AC213" s="58">
        <f t="shared" si="222"/>
        <v>-0.26642716387748799</v>
      </c>
      <c r="AD213" s="52" t="e">
        <f>'FY 2013 by Agency'!AD213*Inflator!#REF!</f>
        <v>#REF!</v>
      </c>
      <c r="AE213" s="52">
        <f>'FY 2013 by Agency'!AE213*Inflator!$B$8</f>
        <v>0</v>
      </c>
      <c r="AF213" s="52">
        <f>'FY 2013 by Agency'!AF213*Inflator!$E$12</f>
        <v>96553.446115288229</v>
      </c>
      <c r="AG213" s="52">
        <f t="shared" si="223"/>
        <v>8761.8564370467357</v>
      </c>
      <c r="AH213" s="58">
        <f t="shared" si="224"/>
        <v>9.9802913572463736E-2</v>
      </c>
      <c r="AI213" s="52">
        <f>'FY 2013 by Agency'!AI213*Inflator!$B$8</f>
        <v>0</v>
      </c>
      <c r="AJ213" s="52">
        <f>'FY 2013 by Agency'!AJ213*Inflator!$B$8</f>
        <v>0</v>
      </c>
      <c r="AK213" s="52">
        <f>'FY 2013 by Agency'!AK213</f>
        <v>96700</v>
      </c>
      <c r="AL213" s="52">
        <f>'FY 2013 by Agency'!AL213</f>
        <v>0</v>
      </c>
      <c r="AM213" s="52">
        <f>'FY 2013 by Agency'!AM213</f>
        <v>96700</v>
      </c>
      <c r="AN213" s="52">
        <f>'FY 2013 by Agency'!AN213</f>
        <v>98700</v>
      </c>
      <c r="AO213" s="52">
        <f>'FY 2013 by Agency'!AO213</f>
        <v>98700</v>
      </c>
      <c r="AP213" s="52">
        <f>'FY 2013 by Agency'!AP213</f>
        <v>0</v>
      </c>
      <c r="AQ213" s="52">
        <f>'FY 2013 by Agency'!AQ213</f>
        <v>0</v>
      </c>
      <c r="AR213" s="52">
        <f>'FY 2013 by Agency'!AR213</f>
        <v>0</v>
      </c>
      <c r="AS213" s="52">
        <f>'FY 2013 by Agency'!AS213</f>
        <v>94200</v>
      </c>
      <c r="AT213" s="52" t="e">
        <f t="shared" si="225"/>
        <v>#REF!</v>
      </c>
      <c r="AU213" s="58" t="e">
        <f t="shared" si="226"/>
        <v>#REF!</v>
      </c>
      <c r="AV213" s="52">
        <f t="shared" si="227"/>
        <v>-2353.4461152882286</v>
      </c>
      <c r="AW213" s="58">
        <f t="shared" si="228"/>
        <v>-2.4374542908371502E-2</v>
      </c>
      <c r="AX213" s="279" t="s">
        <v>313</v>
      </c>
      <c r="AY213" s="65">
        <v>98700</v>
      </c>
      <c r="AZ213" s="280">
        <f t="shared" si="229"/>
        <v>0</v>
      </c>
      <c r="BA213" s="280">
        <f t="shared" si="230"/>
        <v>-2353.4461152882286</v>
      </c>
      <c r="BB213" s="280">
        <f t="shared" si="231"/>
        <v>94200</v>
      </c>
      <c r="BC213" s="58">
        <f t="shared" si="232"/>
        <v>-2.4374542908371488E-2</v>
      </c>
      <c r="BD213" s="280"/>
      <c r="BE213" s="280"/>
      <c r="BI213" s="80">
        <v>98700</v>
      </c>
      <c r="BJ213" s="65">
        <f t="shared" si="237"/>
        <v>0</v>
      </c>
      <c r="BK213" s="65">
        <f t="shared" si="238"/>
        <v>98700</v>
      </c>
      <c r="BL213" s="568">
        <f>'FY 2013 by Agency'!AS213*Inflator!$E$13</f>
        <v>97678.242294781827</v>
      </c>
      <c r="BM213" s="52">
        <f t="shared" si="239"/>
        <v>1124.7961794935982</v>
      </c>
      <c r="BN213" s="51">
        <f t="shared" si="233"/>
        <v>1.1649466950672602E-2</v>
      </c>
      <c r="BO213" s="52">
        <f>'FY 2013 by Agency'!AX213*Inflator!$E$13</f>
        <v>102344.40036618861</v>
      </c>
      <c r="BP213" s="52">
        <f t="shared" si="247"/>
        <v>5790.9542509003804</v>
      </c>
      <c r="BQ213" s="51">
        <f t="shared" si="248"/>
        <v>5.9976670785895886E-2</v>
      </c>
      <c r="BR213" s="52">
        <f>'FY 2013 by Agency'!BE213*Inflator!$E$14</f>
        <v>111406.50940579278</v>
      </c>
      <c r="BS213" s="52">
        <f t="shared" si="249"/>
        <v>9062.1090396041691</v>
      </c>
      <c r="BT213" s="51">
        <f t="shared" si="250"/>
        <v>8.8545235569116754E-2</v>
      </c>
      <c r="BU213" s="69">
        <f>'FY 2013 by Agency'!BL213*Inflator!$E$14</f>
        <v>111406.50940579278</v>
      </c>
      <c r="BV213" s="52">
        <f t="shared" si="240"/>
        <v>13728.267111010951</v>
      </c>
      <c r="BW213" s="39">
        <v>107800</v>
      </c>
      <c r="BX213" s="39">
        <f>'FY 2013 by Agency'!BW213*Inflator!E15</f>
        <v>107800</v>
      </c>
      <c r="BY213" s="534">
        <v>107800</v>
      </c>
      <c r="BZ213" s="39">
        <f t="shared" si="241"/>
        <v>-3606.5094057927781</v>
      </c>
      <c r="CA213" s="51">
        <f t="shared" si="242"/>
        <v>-3.2372519568459358E-2</v>
      </c>
      <c r="CC213" s="39"/>
    </row>
    <row r="214" spans="1:81" s="63" customFormat="1" ht="18" customHeight="1">
      <c r="A214" s="53" t="s">
        <v>105</v>
      </c>
      <c r="B214" s="322">
        <f>'FY 2013 by Agency'!B214*Inflator!$E$2</f>
        <v>0</v>
      </c>
      <c r="C214" s="322">
        <f>'FY 2013 by Agency'!C214*Inflator!$E$3</f>
        <v>0</v>
      </c>
      <c r="D214" s="322">
        <f t="shared" si="243"/>
        <v>0</v>
      </c>
      <c r="E214" s="325" t="s">
        <v>78</v>
      </c>
      <c r="F214" s="10">
        <f>'FY 2013 by Agency'!F214*Inflator!$E$4</f>
        <v>0</v>
      </c>
      <c r="G214" s="10">
        <f t="shared" si="244"/>
        <v>0</v>
      </c>
      <c r="H214" s="325" t="s">
        <v>78</v>
      </c>
      <c r="I214" s="10">
        <f>'FY 2013 by Agency'!I214*Inflator!$E$5</f>
        <v>0</v>
      </c>
      <c r="J214" s="10">
        <f t="shared" si="245"/>
        <v>0</v>
      </c>
      <c r="K214" s="325" t="s">
        <v>78</v>
      </c>
      <c r="L214" s="10">
        <f>'FY 2013 by Agency'!L214*Inflator!$E$6</f>
        <v>0</v>
      </c>
      <c r="M214" s="10">
        <f t="shared" si="246"/>
        <v>0</v>
      </c>
      <c r="N214" s="325" t="s">
        <v>78</v>
      </c>
      <c r="O214" s="10">
        <f>'FY 2013 by Agency'!O214*Inflator!$E$7</f>
        <v>0</v>
      </c>
      <c r="P214" s="69">
        <f t="shared" si="234"/>
        <v>0</v>
      </c>
      <c r="Q214" s="60" t="s">
        <v>78</v>
      </c>
      <c r="R214" s="52">
        <f>'FY 2013 by Agency'!R214*Inflator!$E$8</f>
        <v>0</v>
      </c>
      <c r="S214" s="52">
        <f t="shared" si="251"/>
        <v>0</v>
      </c>
      <c r="T214" s="60" t="s">
        <v>78</v>
      </c>
      <c r="U214" s="52">
        <f>'FY 2013 by Agency'!U214*Inflator!$E$9</f>
        <v>0</v>
      </c>
      <c r="V214" s="69">
        <f t="shared" si="235"/>
        <v>0</v>
      </c>
      <c r="W214" s="60" t="s">
        <v>78</v>
      </c>
      <c r="X214" s="52">
        <f>'FY 2013 by Agency'!X214*Inflator!$E$10</f>
        <v>2710.6306764052083</v>
      </c>
      <c r="Y214" s="39">
        <f t="shared" si="236"/>
        <v>2710.6306764052083</v>
      </c>
      <c r="Z214" s="61" t="s">
        <v>127</v>
      </c>
      <c r="AA214" s="52">
        <f>'FY 2013 by Agency'!AA214*Inflator!$E$11</f>
        <v>6495.0621216948084</v>
      </c>
      <c r="AB214" s="39">
        <f t="shared" si="221"/>
        <v>3784.4314452896001</v>
      </c>
      <c r="AC214" s="58">
        <f t="shared" si="222"/>
        <v>1.3961442546309732</v>
      </c>
      <c r="AD214" s="52" t="e">
        <f>'FY 2013 by Agency'!AD214*Inflator!#REF!</f>
        <v>#REF!</v>
      </c>
      <c r="AE214" s="52">
        <f>'FY 2013 by Agency'!AE214*Inflator!$B$8</f>
        <v>0</v>
      </c>
      <c r="AF214" s="52">
        <f>'FY 2013 by Agency'!AF214*Inflator!$E$12</f>
        <v>2287.6885964912285</v>
      </c>
      <c r="AG214" s="52">
        <f t="shared" si="223"/>
        <v>-4207.3735252035804</v>
      </c>
      <c r="AH214" s="58">
        <f t="shared" si="224"/>
        <v>-0.64778033625731002</v>
      </c>
      <c r="AI214" s="52">
        <f>'FY 2013 by Agency'!AI214*Inflator!$B$8</f>
        <v>0</v>
      </c>
      <c r="AJ214" s="52">
        <f>'FY 2013 by Agency'!AJ214*Inflator!$B$8</f>
        <v>0</v>
      </c>
      <c r="AK214" s="52">
        <f>'FY 2013 by Agency'!AK214</f>
        <v>0</v>
      </c>
      <c r="AL214" s="52">
        <f>'FY 2013 by Agency'!AL214</f>
        <v>0</v>
      </c>
      <c r="AM214" s="52">
        <f>'FY 2013 by Agency'!AM214</f>
        <v>0</v>
      </c>
      <c r="AN214" s="52">
        <f>'FY 2013 by Agency'!AN214</f>
        <v>0</v>
      </c>
      <c r="AO214" s="52">
        <f>'FY 2013 by Agency'!AO214</f>
        <v>7574</v>
      </c>
      <c r="AP214" s="52">
        <f>'FY 2013 by Agency'!AP214</f>
        <v>0</v>
      </c>
      <c r="AQ214" s="52">
        <f>'FY 2013 by Agency'!AQ214</f>
        <v>0</v>
      </c>
      <c r="AR214" s="52">
        <f>'FY 2013 by Agency'!AR214</f>
        <v>0</v>
      </c>
      <c r="AS214" s="52">
        <f>'FY 2013 by Agency'!AS214</f>
        <v>4782.4245799999999</v>
      </c>
      <c r="AT214" s="52" t="e">
        <f t="shared" si="225"/>
        <v>#REF!</v>
      </c>
      <c r="AU214" s="58" t="e">
        <f t="shared" si="226"/>
        <v>#REF!</v>
      </c>
      <c r="AV214" s="52">
        <f t="shared" si="227"/>
        <v>2494.7359835087714</v>
      </c>
      <c r="AW214" s="58">
        <f t="shared" si="228"/>
        <v>1.0905050570847381</v>
      </c>
      <c r="AX214" s="282" t="s">
        <v>304</v>
      </c>
      <c r="AY214" s="65">
        <v>7574</v>
      </c>
      <c r="AZ214" s="280">
        <f t="shared" si="229"/>
        <v>0</v>
      </c>
      <c r="BA214" s="280">
        <f t="shared" si="230"/>
        <v>2494.7359835087714</v>
      </c>
      <c r="BB214" s="280">
        <f t="shared" si="231"/>
        <v>4782.4245799999999</v>
      </c>
      <c r="BC214" s="58">
        <f t="shared" si="232"/>
        <v>1.0905050570847381</v>
      </c>
      <c r="BD214" s="280"/>
      <c r="BE214" s="280"/>
      <c r="BI214" s="80">
        <v>7574</v>
      </c>
      <c r="BJ214" s="65">
        <f t="shared" si="237"/>
        <v>0</v>
      </c>
      <c r="BK214" s="65">
        <f t="shared" si="238"/>
        <v>7574</v>
      </c>
      <c r="BL214" s="568">
        <f>'FY 2013 by Agency'!AS214*Inflator!$E$13</f>
        <v>4959.0109010802571</v>
      </c>
      <c r="BM214" s="52">
        <f t="shared" si="239"/>
        <v>2671.3223045890286</v>
      </c>
      <c r="BN214" s="51">
        <f t="shared" si="233"/>
        <v>1.1676948989850293</v>
      </c>
      <c r="BO214" s="52">
        <f>'FY 2013 by Agency'!AX214*Inflator!$E$13</f>
        <v>7853.6624961855368</v>
      </c>
      <c r="BP214" s="52">
        <f t="shared" si="247"/>
        <v>5565.9738996943088</v>
      </c>
      <c r="BQ214" s="51">
        <f t="shared" si="248"/>
        <v>2.4330120402886966</v>
      </c>
      <c r="BR214" s="52">
        <f>'FY 2013 by Agency'!BE214*Inflator!$E$14</f>
        <v>6788.8975813675734</v>
      </c>
      <c r="BS214" s="52">
        <f t="shared" si="249"/>
        <v>-1064.7649148179635</v>
      </c>
      <c r="BT214" s="51">
        <f t="shared" si="250"/>
        <v>-0.13557558850219392</v>
      </c>
      <c r="BU214" s="69">
        <f>'FY 2013 by Agency'!BL214*Inflator!$E$14</f>
        <v>6788.8975813675734</v>
      </c>
      <c r="BV214" s="52">
        <f t="shared" si="240"/>
        <v>1829.8866802873163</v>
      </c>
      <c r="BW214" s="39">
        <v>8222</v>
      </c>
      <c r="BX214" s="39">
        <f>'FY 2013 by Agency'!BW214*Inflator!E15</f>
        <v>8222</v>
      </c>
      <c r="BY214" s="534">
        <v>8222</v>
      </c>
      <c r="BZ214" s="39">
        <f t="shared" si="241"/>
        <v>1433.1024186324266</v>
      </c>
      <c r="CA214" s="51">
        <f t="shared" si="242"/>
        <v>0.21109501232801611</v>
      </c>
      <c r="CC214" s="39"/>
    </row>
    <row r="215" spans="1:81" s="63" customFormat="1" ht="18" customHeight="1">
      <c r="A215" s="245" t="s">
        <v>477</v>
      </c>
      <c r="B215" s="322">
        <f>'FY 2013 by Agency'!B215*Inflator!$E$2</f>
        <v>0</v>
      </c>
      <c r="C215" s="322">
        <f>'FY 2013 by Agency'!C215*Inflator!$E$3</f>
        <v>0</v>
      </c>
      <c r="D215" s="322">
        <f t="shared" si="243"/>
        <v>0</v>
      </c>
      <c r="E215" s="325" t="s">
        <v>78</v>
      </c>
      <c r="F215" s="10">
        <f>'FY 2013 by Agency'!F215*Inflator!$E$4</f>
        <v>0</v>
      </c>
      <c r="G215" s="10">
        <f t="shared" si="244"/>
        <v>0</v>
      </c>
      <c r="H215" s="325" t="s">
        <v>78</v>
      </c>
      <c r="I215" s="10">
        <f>'FY 2013 by Agency'!I215*Inflator!$E$5</f>
        <v>0</v>
      </c>
      <c r="J215" s="10">
        <f t="shared" si="245"/>
        <v>0</v>
      </c>
      <c r="K215" s="325" t="s">
        <v>78</v>
      </c>
      <c r="L215" s="325" t="s">
        <v>78</v>
      </c>
      <c r="M215" s="325" t="s">
        <v>78</v>
      </c>
      <c r="N215" s="325" t="s">
        <v>78</v>
      </c>
      <c r="O215" s="325" t="s">
        <v>78</v>
      </c>
      <c r="P215" s="325" t="s">
        <v>78</v>
      </c>
      <c r="Q215" s="325" t="s">
        <v>78</v>
      </c>
      <c r="R215" s="325" t="s">
        <v>78</v>
      </c>
      <c r="S215" s="325" t="s">
        <v>78</v>
      </c>
      <c r="T215" s="325" t="s">
        <v>78</v>
      </c>
      <c r="U215" s="325" t="s">
        <v>78</v>
      </c>
      <c r="V215" s="325" t="s">
        <v>78</v>
      </c>
      <c r="W215" s="325" t="s">
        <v>78</v>
      </c>
      <c r="X215" s="52">
        <f>'FY 2013 by Agency'!X215*Inflator!$E$10</f>
        <v>50065.737059383937</v>
      </c>
      <c r="Y215" s="61" t="s">
        <v>127</v>
      </c>
      <c r="Z215" s="61" t="s">
        <v>127</v>
      </c>
      <c r="AA215" s="52">
        <f>'FY 2013 by Agency'!AA215*Inflator!$E$11</f>
        <v>54173.148136349162</v>
      </c>
      <c r="AB215" s="39">
        <f t="shared" si="221"/>
        <v>4107.4110769652252</v>
      </c>
      <c r="AC215" s="58">
        <f t="shared" si="222"/>
        <v>8.2040359699355789E-2</v>
      </c>
      <c r="AD215" s="52" t="e">
        <f>'FY 2013 by Agency'!AD215*Inflator!#REF!</f>
        <v>#REF!</v>
      </c>
      <c r="AE215" s="52">
        <f>'FY 2013 by Agency'!AE215*Inflator!$B$8</f>
        <v>0</v>
      </c>
      <c r="AF215" s="52">
        <f>'FY 2013 by Agency'!AF215*Inflator!$E$12</f>
        <v>34151.390350877198</v>
      </c>
      <c r="AG215" s="52">
        <f t="shared" si="223"/>
        <v>-20021.757785471964</v>
      </c>
      <c r="AH215" s="58">
        <f t="shared" si="224"/>
        <v>-0.36958822727228108</v>
      </c>
      <c r="AI215" s="52">
        <f>'FY 2013 by Agency'!AI215*Inflator!$B$8</f>
        <v>0</v>
      </c>
      <c r="AJ215" s="52">
        <f>'FY 2013 by Agency'!AJ215*Inflator!$B$8</f>
        <v>0</v>
      </c>
      <c r="AK215" s="52">
        <f>'FY 2013 by Agency'!AK215</f>
        <v>0</v>
      </c>
      <c r="AL215" s="52">
        <f>'FY 2013 by Agency'!AL215</f>
        <v>0</v>
      </c>
      <c r="AM215" s="52">
        <f>'FY 2013 by Agency'!AM215</f>
        <v>0</v>
      </c>
      <c r="AN215" s="52">
        <f>'FY 2013 by Agency'!AN215</f>
        <v>0</v>
      </c>
      <c r="AO215" s="52">
        <f>'FY 2013 by Agency'!AO215</f>
        <v>29582</v>
      </c>
      <c r="AP215" s="52">
        <f>'FY 2013 by Agency'!AP215</f>
        <v>0</v>
      </c>
      <c r="AQ215" s="52">
        <f>'FY 2013 by Agency'!AQ215</f>
        <v>0</v>
      </c>
      <c r="AR215" s="52">
        <f>'FY 2013 by Agency'!AR215</f>
        <v>0</v>
      </c>
      <c r="AS215" s="52">
        <f>'FY 2013 by Agency'!AS215</f>
        <v>30336</v>
      </c>
      <c r="AT215" s="52" t="e">
        <f t="shared" si="225"/>
        <v>#REF!</v>
      </c>
      <c r="AU215" s="58" t="e">
        <f t="shared" si="226"/>
        <v>#REF!</v>
      </c>
      <c r="AV215" s="52">
        <f t="shared" si="227"/>
        <v>-3815.3903508771982</v>
      </c>
      <c r="AW215" s="58">
        <f t="shared" si="228"/>
        <v>-0.11171991276715906</v>
      </c>
      <c r="AX215" s="285" t="s">
        <v>314</v>
      </c>
      <c r="AY215" s="65">
        <v>29582</v>
      </c>
      <c r="AZ215" s="280">
        <f t="shared" si="229"/>
        <v>0</v>
      </c>
      <c r="BA215" s="280">
        <f t="shared" si="230"/>
        <v>-3815.3903508771982</v>
      </c>
      <c r="BB215" s="280">
        <f t="shared" si="231"/>
        <v>30336</v>
      </c>
      <c r="BC215" s="58">
        <f t="shared" si="232"/>
        <v>-0.11171991276715909</v>
      </c>
      <c r="BD215" s="280"/>
      <c r="BE215" s="280"/>
      <c r="BI215" s="246">
        <v>29582</v>
      </c>
      <c r="BJ215" s="65">
        <f t="shared" si="237"/>
        <v>0</v>
      </c>
      <c r="BK215" s="65">
        <f t="shared" si="238"/>
        <v>29582</v>
      </c>
      <c r="BL215" s="568">
        <f>'FY 2013 by Agency'!AS215*Inflator!$E$13</f>
        <v>31456.126945376873</v>
      </c>
      <c r="BM215" s="52">
        <f t="shared" si="239"/>
        <v>-2695.2634055003255</v>
      </c>
      <c r="BN215" s="51">
        <f t="shared" si="233"/>
        <v>-7.8921044730792228E-2</v>
      </c>
      <c r="BO215" s="52">
        <f>'FY 2013 by Agency'!AX215*Inflator!$E$13</f>
        <v>30674.286237412274</v>
      </c>
      <c r="BP215" s="52">
        <f t="shared" si="247"/>
        <v>-3477.104113464924</v>
      </c>
      <c r="BQ215" s="51">
        <f t="shared" si="248"/>
        <v>-0.10181442329991736</v>
      </c>
      <c r="BR215" s="52">
        <f>'FY 2013 by Agency'!BE215*Inflator!$E$14</f>
        <v>46211.379516273519</v>
      </c>
      <c r="BS215" s="52">
        <f t="shared" si="249"/>
        <v>15537.093278861244</v>
      </c>
      <c r="BT215" s="51">
        <f t="shared" si="250"/>
        <v>0.50651849430521501</v>
      </c>
      <c r="BU215" s="69">
        <f>'FY 2013 by Agency'!BL215*Inflator!$E$14</f>
        <v>46211.379516273519</v>
      </c>
      <c r="BV215" s="52">
        <f>BU215-BL215</f>
        <v>14755.252570896646</v>
      </c>
      <c r="BW215" s="39">
        <v>47020</v>
      </c>
      <c r="BX215" s="39">
        <f>'FY 2013 by Agency'!BW215*Inflator!E15</f>
        <v>47020</v>
      </c>
      <c r="BY215" s="534">
        <v>47020</v>
      </c>
      <c r="BZ215" s="39">
        <f t="shared" si="241"/>
        <v>808.62048372648132</v>
      </c>
      <c r="CA215" s="51">
        <f t="shared" si="242"/>
        <v>1.7498297869288287E-2</v>
      </c>
      <c r="CC215" s="39"/>
    </row>
    <row r="216" spans="1:81" s="63" customFormat="1" ht="18" customHeight="1">
      <c r="A216" s="63" t="s">
        <v>148</v>
      </c>
      <c r="B216" s="325" t="s">
        <v>78</v>
      </c>
      <c r="C216" s="325" t="s">
        <v>78</v>
      </c>
      <c r="D216" s="325" t="s">
        <v>78</v>
      </c>
      <c r="E216" s="325" t="s">
        <v>78</v>
      </c>
      <c r="F216" s="10">
        <f>'FY 2013 by Agency'!F216*Inflator!$E$4</f>
        <v>0</v>
      </c>
      <c r="G216" s="325" t="s">
        <v>78</v>
      </c>
      <c r="H216" s="325" t="s">
        <v>78</v>
      </c>
      <c r="I216" s="10">
        <f>'FY 2013 by Agency'!I216*Inflator!$E$5</f>
        <v>13425.195983637042</v>
      </c>
      <c r="J216" s="10">
        <f t="shared" si="245"/>
        <v>13425.195983637042</v>
      </c>
      <c r="K216" s="325" t="s">
        <v>78</v>
      </c>
      <c r="L216" s="325" t="s">
        <v>78</v>
      </c>
      <c r="M216" s="325" t="s">
        <v>78</v>
      </c>
      <c r="N216" s="325" t="s">
        <v>78</v>
      </c>
      <c r="O216" s="325" t="s">
        <v>78</v>
      </c>
      <c r="P216" s="325" t="s">
        <v>78</v>
      </c>
      <c r="Q216" s="325" t="s">
        <v>78</v>
      </c>
      <c r="R216" s="325" t="s">
        <v>78</v>
      </c>
      <c r="S216" s="325" t="s">
        <v>78</v>
      </c>
      <c r="T216" s="325" t="s">
        <v>78</v>
      </c>
      <c r="U216" s="325" t="s">
        <v>78</v>
      </c>
      <c r="V216" s="325" t="s">
        <v>78</v>
      </c>
      <c r="W216" s="325" t="s">
        <v>78</v>
      </c>
      <c r="X216" s="325" t="s">
        <v>78</v>
      </c>
      <c r="Y216" s="325" t="s">
        <v>78</v>
      </c>
      <c r="Z216" s="325" t="s">
        <v>78</v>
      </c>
      <c r="AA216" s="52">
        <f>'FY 2013 by Agency'!AA216*Inflator!$E$11</f>
        <v>0</v>
      </c>
      <c r="AB216" s="39" t="e">
        <f t="shared" si="221"/>
        <v>#VALUE!</v>
      </c>
      <c r="AC216" s="58" t="e">
        <f t="shared" si="222"/>
        <v>#VALUE!</v>
      </c>
      <c r="AD216" s="52" t="e">
        <f>'FY 2013 by Agency'!AD216*Inflator!#REF!</f>
        <v>#REF!</v>
      </c>
      <c r="AE216" s="52">
        <f>'FY 2013 by Agency'!AE216*Inflator!$B$8</f>
        <v>0</v>
      </c>
      <c r="AF216" s="52">
        <f>'FY 2013 by Agency'!AF216*Inflator!$E$12</f>
        <v>0</v>
      </c>
      <c r="AG216" s="52">
        <f t="shared" si="223"/>
        <v>0</v>
      </c>
      <c r="AH216" s="58" t="e">
        <f t="shared" si="224"/>
        <v>#DIV/0!</v>
      </c>
      <c r="AI216" s="52">
        <f>'FY 2013 by Agency'!AI216*Inflator!$B$8</f>
        <v>0</v>
      </c>
      <c r="AJ216" s="52">
        <f>'FY 2013 by Agency'!AJ216*Inflator!$B$8</f>
        <v>0</v>
      </c>
      <c r="AK216" s="52">
        <f>'FY 2013 by Agency'!AK216</f>
        <v>0</v>
      </c>
      <c r="AL216" s="52">
        <f>'FY 2013 by Agency'!AL216</f>
        <v>0</v>
      </c>
      <c r="AM216" s="52">
        <f>'FY 2013 by Agency'!AM216</f>
        <v>0</v>
      </c>
      <c r="AN216" s="52">
        <f>'FY 2013 by Agency'!AN216</f>
        <v>0</v>
      </c>
      <c r="AO216" s="52">
        <f>'FY 2013 by Agency'!AO216</f>
        <v>0</v>
      </c>
      <c r="AP216" s="52">
        <f>'FY 2013 by Agency'!AP216</f>
        <v>0</v>
      </c>
      <c r="AQ216" s="52">
        <f>'FY 2013 by Agency'!AQ216</f>
        <v>0</v>
      </c>
      <c r="AR216" s="52">
        <f>'FY 2013 by Agency'!AR216</f>
        <v>0</v>
      </c>
      <c r="AS216" s="52">
        <f>'FY 2013 by Agency'!AS216</f>
        <v>0</v>
      </c>
      <c r="AT216" s="52" t="e">
        <f t="shared" si="225"/>
        <v>#REF!</v>
      </c>
      <c r="AU216" s="58" t="e">
        <f t="shared" si="226"/>
        <v>#REF!</v>
      </c>
      <c r="AV216" s="52">
        <f t="shared" si="227"/>
        <v>0</v>
      </c>
      <c r="AW216" s="58" t="e">
        <f t="shared" si="228"/>
        <v>#DIV/0!</v>
      </c>
      <c r="AX216" s="282" t="s">
        <v>309</v>
      </c>
      <c r="AY216" s="65">
        <v>0</v>
      </c>
      <c r="AZ216" s="280">
        <f t="shared" si="229"/>
        <v>0</v>
      </c>
      <c r="BA216" s="280">
        <f t="shared" si="230"/>
        <v>0</v>
      </c>
      <c r="BB216" s="280">
        <f t="shared" si="231"/>
        <v>0</v>
      </c>
      <c r="BC216" s="58" t="e">
        <f t="shared" si="232"/>
        <v>#DIV/0!</v>
      </c>
      <c r="BD216" s="280"/>
      <c r="BE216" s="280"/>
      <c r="BI216" s="80">
        <v>0</v>
      </c>
      <c r="BJ216" s="65">
        <f t="shared" si="237"/>
        <v>0</v>
      </c>
      <c r="BK216" s="65">
        <f t="shared" si="238"/>
        <v>0</v>
      </c>
      <c r="BL216" s="568">
        <f>'FY 2013 by Agency'!AS216*Inflator!$E$13</f>
        <v>0</v>
      </c>
      <c r="BM216" s="52">
        <f t="shared" si="239"/>
        <v>0</v>
      </c>
      <c r="BN216" s="51" t="e">
        <f t="shared" si="233"/>
        <v>#DIV/0!</v>
      </c>
      <c r="BO216" s="52">
        <f>'FY 2013 by Agency'!AX216*Inflator!$E$13</f>
        <v>0</v>
      </c>
      <c r="BP216" s="52">
        <f t="shared" si="247"/>
        <v>0</v>
      </c>
      <c r="BQ216" s="51" t="e">
        <f t="shared" si="248"/>
        <v>#DIV/0!</v>
      </c>
      <c r="BR216" s="52">
        <v>0</v>
      </c>
      <c r="BS216" s="52">
        <f t="shared" si="249"/>
        <v>0</v>
      </c>
      <c r="BT216" s="51" t="e">
        <f t="shared" si="250"/>
        <v>#DIV/0!</v>
      </c>
      <c r="BU216" s="69">
        <f>'FY 2013 by Agency'!BL216*Inflator!$E$14</f>
        <v>0</v>
      </c>
      <c r="BV216" s="52">
        <f t="shared" si="240"/>
        <v>0</v>
      </c>
      <c r="BW216" s="39">
        <v>0</v>
      </c>
      <c r="BX216" s="39">
        <f>'FY 2013 by Agency'!BW216*Inflator!E15</f>
        <v>0</v>
      </c>
      <c r="BY216" s="534"/>
      <c r="BZ216" s="39">
        <f t="shared" si="241"/>
        <v>0</v>
      </c>
      <c r="CA216" s="51" t="e">
        <f t="shared" si="242"/>
        <v>#DIV/0!</v>
      </c>
      <c r="CC216" s="39"/>
    </row>
    <row r="217" spans="1:81" s="63" customFormat="1" ht="18" customHeight="1">
      <c r="A217" s="251" t="s">
        <v>479</v>
      </c>
      <c r="B217" s="325" t="s">
        <v>78</v>
      </c>
      <c r="C217" s="325" t="s">
        <v>78</v>
      </c>
      <c r="D217" s="325" t="s">
        <v>78</v>
      </c>
      <c r="E217" s="325" t="s">
        <v>78</v>
      </c>
      <c r="F217" s="325" t="s">
        <v>78</v>
      </c>
      <c r="G217" s="325" t="s">
        <v>78</v>
      </c>
      <c r="H217" s="325" t="s">
        <v>78</v>
      </c>
      <c r="I217" s="325" t="s">
        <v>78</v>
      </c>
      <c r="J217" s="325" t="s">
        <v>78</v>
      </c>
      <c r="K217" s="325" t="s">
        <v>78</v>
      </c>
      <c r="L217" s="325" t="s">
        <v>78</v>
      </c>
      <c r="M217" s="325" t="s">
        <v>78</v>
      </c>
      <c r="N217" s="325" t="s">
        <v>78</v>
      </c>
      <c r="O217" s="325" t="s">
        <v>78</v>
      </c>
      <c r="P217" s="325" t="s">
        <v>78</v>
      </c>
      <c r="Q217" s="325" t="s">
        <v>78</v>
      </c>
      <c r="R217" s="325" t="s">
        <v>78</v>
      </c>
      <c r="S217" s="325" t="s">
        <v>78</v>
      </c>
      <c r="T217" s="325" t="s">
        <v>78</v>
      </c>
      <c r="U217" s="325" t="s">
        <v>78</v>
      </c>
      <c r="V217" s="325" t="s">
        <v>78</v>
      </c>
      <c r="W217" s="325" t="s">
        <v>78</v>
      </c>
      <c r="X217" s="325" t="s">
        <v>78</v>
      </c>
      <c r="Y217" s="325" t="s">
        <v>78</v>
      </c>
      <c r="Z217" s="325" t="s">
        <v>78</v>
      </c>
      <c r="AA217" s="52">
        <f>'FY 2013 by Agency'!AA217*Inflator!$E$11</f>
        <v>0</v>
      </c>
      <c r="AB217" s="39" t="e">
        <f t="shared" si="221"/>
        <v>#VALUE!</v>
      </c>
      <c r="AC217" s="58" t="e">
        <f t="shared" si="222"/>
        <v>#VALUE!</v>
      </c>
      <c r="AD217" s="52" t="e">
        <f>'FY 2013 by Agency'!AD217*Inflator!#REF!</f>
        <v>#REF!</v>
      </c>
      <c r="AE217" s="52">
        <f>'FY 2013 by Agency'!AE217*Inflator!$B$8</f>
        <v>0</v>
      </c>
      <c r="AF217" s="52">
        <f>'FY 2013 by Agency'!AF217*Inflator!$E$12</f>
        <v>36343.270676691733</v>
      </c>
      <c r="AG217" s="52">
        <f t="shared" si="223"/>
        <v>36343.270676691733</v>
      </c>
      <c r="AH217" s="58" t="e">
        <f t="shared" si="224"/>
        <v>#DIV/0!</v>
      </c>
      <c r="AI217" s="52">
        <f>'FY 2013 by Agency'!AI217*Inflator!$B$8</f>
        <v>0</v>
      </c>
      <c r="AJ217" s="52">
        <f>'FY 2013 by Agency'!AJ217*Inflator!$B$8</f>
        <v>0</v>
      </c>
      <c r="AK217" s="52">
        <f>'FY 2013 by Agency'!AK217</f>
        <v>0</v>
      </c>
      <c r="AL217" s="52">
        <f>'FY 2013 by Agency'!AL217</f>
        <v>0</v>
      </c>
      <c r="AM217" s="52">
        <f>'FY 2013 by Agency'!AM217</f>
        <v>0</v>
      </c>
      <c r="AN217" s="52">
        <f>'FY 2013 by Agency'!AN217</f>
        <v>0</v>
      </c>
      <c r="AO217" s="52">
        <f>'FY 2013 by Agency'!AO217</f>
        <v>67904</v>
      </c>
      <c r="AP217" s="52">
        <f>'FY 2013 by Agency'!AP217</f>
        <v>0</v>
      </c>
      <c r="AQ217" s="52">
        <f>'FY 2013 by Agency'!AQ217</f>
        <v>0</v>
      </c>
      <c r="AR217" s="52">
        <f>'FY 2013 by Agency'!AR217</f>
        <v>0</v>
      </c>
      <c r="AS217" s="52">
        <f>'FY 2013 by Agency'!AS217</f>
        <v>58253.516000000003</v>
      </c>
      <c r="AT217" s="52" t="e">
        <f t="shared" si="225"/>
        <v>#REF!</v>
      </c>
      <c r="AU217" s="58" t="e">
        <f t="shared" si="226"/>
        <v>#REF!</v>
      </c>
      <c r="AV217" s="52">
        <f t="shared" si="227"/>
        <v>21910.245323308271</v>
      </c>
      <c r="AW217" s="58">
        <f t="shared" si="228"/>
        <v>0.60286938724422812</v>
      </c>
      <c r="AX217" s="285" t="s">
        <v>317</v>
      </c>
      <c r="AY217" s="65">
        <v>61304</v>
      </c>
      <c r="AZ217" s="280">
        <f t="shared" si="229"/>
        <v>-6600</v>
      </c>
      <c r="BA217" s="280">
        <f t="shared" si="230"/>
        <v>15310.245323308271</v>
      </c>
      <c r="BB217" s="280">
        <f t="shared" si="231"/>
        <v>51653.516000000003</v>
      </c>
      <c r="BC217" s="58">
        <f t="shared" si="232"/>
        <v>0.42126768004750015</v>
      </c>
      <c r="BD217" s="280"/>
      <c r="BE217" s="280"/>
      <c r="BI217" s="246">
        <v>61304</v>
      </c>
      <c r="BJ217" s="65">
        <f t="shared" si="237"/>
        <v>0</v>
      </c>
      <c r="BK217" s="65">
        <f t="shared" si="238"/>
        <v>61304</v>
      </c>
      <c r="BL217" s="568">
        <f>'FY 2013 by Agency'!AS217*Inflator!$E$13</f>
        <v>60404.469749160831</v>
      </c>
      <c r="BM217" s="52">
        <f t="shared" si="239"/>
        <v>24061.199072469099</v>
      </c>
      <c r="BN217" s="51">
        <f t="shared" si="233"/>
        <v>0.66205376193344168</v>
      </c>
      <c r="BO217" s="52">
        <f>'FY 2013 by Agency'!AX217*Inflator!$E$13</f>
        <v>63567.589868782437</v>
      </c>
      <c r="BP217" s="52">
        <f t="shared" si="247"/>
        <v>27224.319192090705</v>
      </c>
      <c r="BQ217" s="51">
        <f t="shared" si="248"/>
        <v>0.74908830947762373</v>
      </c>
      <c r="BR217" s="52">
        <f>'FY 2013 by Agency'!BE217*Inflator!$E$14</f>
        <v>66423.848312929244</v>
      </c>
      <c r="BS217" s="52">
        <f t="shared" si="249"/>
        <v>2856.2584441468061</v>
      </c>
      <c r="BT217" s="51">
        <f t="shared" si="250"/>
        <v>4.4932621325470344E-2</v>
      </c>
      <c r="BU217" s="69">
        <f>'FY 2013 by Agency'!BL217*Inflator!$E$14</f>
        <v>66423.848312929244</v>
      </c>
      <c r="BV217" s="52">
        <f t="shared" si="240"/>
        <v>6019.3785637684123</v>
      </c>
      <c r="BW217" s="39">
        <v>71461</v>
      </c>
      <c r="BX217" s="39">
        <f>'FY 2013 by Agency'!BW217*Inflator!E15</f>
        <v>71461</v>
      </c>
      <c r="BY217" s="534">
        <v>71461</v>
      </c>
      <c r="BZ217" s="39">
        <f t="shared" si="241"/>
        <v>5037.1516870707565</v>
      </c>
      <c r="CA217" s="51">
        <f t="shared" si="242"/>
        <v>7.5833481723917018E-2</v>
      </c>
      <c r="CC217" s="39"/>
    </row>
    <row r="218" spans="1:81" s="63" customFormat="1" ht="18" customHeight="1">
      <c r="A218" s="63" t="s">
        <v>150</v>
      </c>
      <c r="B218" s="325" t="s">
        <v>78</v>
      </c>
      <c r="C218" s="325" t="s">
        <v>78</v>
      </c>
      <c r="D218" s="325" t="s">
        <v>78</v>
      </c>
      <c r="E218" s="325" t="s">
        <v>78</v>
      </c>
      <c r="F218" s="325" t="s">
        <v>78</v>
      </c>
      <c r="G218" s="325" t="s">
        <v>78</v>
      </c>
      <c r="H218" s="325" t="s">
        <v>78</v>
      </c>
      <c r="I218" s="325" t="s">
        <v>78</v>
      </c>
      <c r="J218" s="325" t="s">
        <v>78</v>
      </c>
      <c r="K218" s="325" t="s">
        <v>78</v>
      </c>
      <c r="L218" s="325" t="s">
        <v>78</v>
      </c>
      <c r="M218" s="325" t="s">
        <v>78</v>
      </c>
      <c r="N218" s="325" t="s">
        <v>78</v>
      </c>
      <c r="O218" s="325" t="s">
        <v>78</v>
      </c>
      <c r="P218" s="325" t="s">
        <v>78</v>
      </c>
      <c r="Q218" s="325" t="s">
        <v>78</v>
      </c>
      <c r="R218" s="325" t="s">
        <v>78</v>
      </c>
      <c r="S218" s="325" t="s">
        <v>78</v>
      </c>
      <c r="T218" s="325" t="s">
        <v>78</v>
      </c>
      <c r="U218" s="325" t="s">
        <v>78</v>
      </c>
      <c r="V218" s="325" t="s">
        <v>78</v>
      </c>
      <c r="W218" s="325" t="s">
        <v>78</v>
      </c>
      <c r="X218" s="325" t="s">
        <v>78</v>
      </c>
      <c r="Y218" s="325" t="s">
        <v>78</v>
      </c>
      <c r="Z218" s="325" t="s">
        <v>78</v>
      </c>
      <c r="AA218" s="52">
        <f>'FY 2013 by Agency'!AA218*Inflator!$E$11</f>
        <v>0</v>
      </c>
      <c r="AB218" s="39" t="e">
        <f t="shared" si="221"/>
        <v>#VALUE!</v>
      </c>
      <c r="AC218" s="58" t="e">
        <f t="shared" si="222"/>
        <v>#VALUE!</v>
      </c>
      <c r="AD218" s="52" t="e">
        <f>'FY 2013 by Agency'!AD218*Inflator!#REF!</f>
        <v>#REF!</v>
      </c>
      <c r="AE218" s="52">
        <f>'FY 2013 by Agency'!AE218*Inflator!$B$8</f>
        <v>0</v>
      </c>
      <c r="AF218" s="52">
        <f>'FY 2013 by Agency'!AF218*Inflator!$E$12</f>
        <v>26495.244987468675</v>
      </c>
      <c r="AG218" s="52">
        <f t="shared" si="223"/>
        <v>26495.244987468675</v>
      </c>
      <c r="AH218" s="58" t="e">
        <f t="shared" si="224"/>
        <v>#DIV/0!</v>
      </c>
      <c r="AI218" s="52">
        <f>'FY 2013 by Agency'!AI218*Inflator!$B$8</f>
        <v>0</v>
      </c>
      <c r="AJ218" s="52">
        <f>'FY 2013 by Agency'!AJ218*Inflator!$B$8</f>
        <v>0</v>
      </c>
      <c r="AK218" s="52">
        <f>'FY 2013 by Agency'!AK218</f>
        <v>0</v>
      </c>
      <c r="AL218" s="52">
        <f>'FY 2013 by Agency'!AL218</f>
        <v>0</v>
      </c>
      <c r="AM218" s="52">
        <f>'FY 2013 by Agency'!AM218</f>
        <v>0</v>
      </c>
      <c r="AN218" s="52">
        <f>'FY 2013 by Agency'!AN218</f>
        <v>0</v>
      </c>
      <c r="AO218" s="52">
        <f>'FY 2013 by Agency'!AO218</f>
        <v>37678</v>
      </c>
      <c r="AP218" s="52">
        <f>'FY 2013 by Agency'!AP218</f>
        <v>0</v>
      </c>
      <c r="AQ218" s="52">
        <f>'FY 2013 by Agency'!AQ218</f>
        <v>0</v>
      </c>
      <c r="AR218" s="52">
        <f>'FY 2013 by Agency'!AR218</f>
        <v>0</v>
      </c>
      <c r="AS218" s="52">
        <f>'FY 2013 by Agency'!AS218</f>
        <v>30001.348720000002</v>
      </c>
      <c r="AT218" s="52" t="e">
        <f t="shared" si="225"/>
        <v>#REF!</v>
      </c>
      <c r="AU218" s="58" t="e">
        <f t="shared" si="226"/>
        <v>#REF!</v>
      </c>
      <c r="AV218" s="52">
        <f t="shared" si="227"/>
        <v>3506.1037325313264</v>
      </c>
      <c r="AW218" s="58">
        <f t="shared" si="228"/>
        <v>0.13232954570488367</v>
      </c>
      <c r="AX218" s="285" t="s">
        <v>315</v>
      </c>
      <c r="AY218" s="65">
        <v>37678</v>
      </c>
      <c r="AZ218" s="280">
        <f t="shared" si="229"/>
        <v>0</v>
      </c>
      <c r="BA218" s="280">
        <f t="shared" si="230"/>
        <v>3506.1037325313264</v>
      </c>
      <c r="BB218" s="280">
        <f t="shared" si="231"/>
        <v>30001.348720000002</v>
      </c>
      <c r="BC218" s="58">
        <f t="shared" si="232"/>
        <v>0.13232954570488364</v>
      </c>
      <c r="BD218" s="280"/>
      <c r="BE218" s="280"/>
      <c r="BI218" s="246">
        <v>37678</v>
      </c>
      <c r="BJ218" s="65">
        <f t="shared" si="237"/>
        <v>0</v>
      </c>
      <c r="BK218" s="65">
        <f t="shared" si="238"/>
        <v>37678</v>
      </c>
      <c r="BL218" s="568">
        <f>'FY 2013 by Agency'!AS218*Inflator!$E$13</f>
        <v>31109.118996203852</v>
      </c>
      <c r="BM218" s="52">
        <f t="shared" si="239"/>
        <v>4613.8740087351762</v>
      </c>
      <c r="BN218" s="51">
        <f t="shared" si="233"/>
        <v>0.17413969981849109</v>
      </c>
      <c r="BO218" s="52">
        <f>'FY 2013 by Agency'!AX218*Inflator!$E$13</f>
        <v>39069.223069880994</v>
      </c>
      <c r="BP218" s="52">
        <f t="shared" si="247"/>
        <v>12573.978082412319</v>
      </c>
      <c r="BQ218" s="51">
        <f t="shared" si="248"/>
        <v>0.47457489403700065</v>
      </c>
      <c r="BR218" s="52">
        <f>'FY 2013 by Agency'!BE218*Inflator!$E$14</f>
        <v>37839.657211107799</v>
      </c>
      <c r="BS218" s="52">
        <f t="shared" si="249"/>
        <v>-1229.5658587731959</v>
      </c>
      <c r="BT218" s="51">
        <f t="shared" si="250"/>
        <v>-3.1471469411458182E-2</v>
      </c>
      <c r="BU218" s="69">
        <f>'FY 2013 by Agency'!BL218*Inflator!$E$14</f>
        <v>37839.657211107799</v>
      </c>
      <c r="BV218" s="52">
        <f t="shared" si="240"/>
        <v>6730.5382149039469</v>
      </c>
      <c r="BW218" s="39">
        <v>36472</v>
      </c>
      <c r="BX218" s="39">
        <f>'FY 2013 by Agency'!BW218*Inflator!E15</f>
        <v>36472</v>
      </c>
      <c r="BY218" s="534">
        <v>36472</v>
      </c>
      <c r="BZ218" s="39">
        <f t="shared" si="241"/>
        <v>-1367.6572111077985</v>
      </c>
      <c r="CA218" s="51">
        <f t="shared" si="242"/>
        <v>-3.6143488390437212E-2</v>
      </c>
      <c r="CC218" s="39"/>
    </row>
    <row r="219" spans="1:81" s="63" customFormat="1" ht="18" customHeight="1">
      <c r="A219" s="63" t="s">
        <v>151</v>
      </c>
      <c r="B219" s="325" t="s">
        <v>78</v>
      </c>
      <c r="C219" s="325" t="s">
        <v>78</v>
      </c>
      <c r="D219" s="325" t="s">
        <v>78</v>
      </c>
      <c r="E219" s="325" t="s">
        <v>78</v>
      </c>
      <c r="F219" s="325" t="s">
        <v>78</v>
      </c>
      <c r="G219" s="325" t="s">
        <v>78</v>
      </c>
      <c r="H219" s="325" t="s">
        <v>78</v>
      </c>
      <c r="I219" s="325" t="s">
        <v>78</v>
      </c>
      <c r="J219" s="325" t="s">
        <v>78</v>
      </c>
      <c r="K219" s="325" t="s">
        <v>78</v>
      </c>
      <c r="L219" s="325" t="s">
        <v>78</v>
      </c>
      <c r="M219" s="325" t="s">
        <v>78</v>
      </c>
      <c r="N219" s="325" t="s">
        <v>78</v>
      </c>
      <c r="O219" s="325" t="s">
        <v>78</v>
      </c>
      <c r="P219" s="325" t="s">
        <v>78</v>
      </c>
      <c r="Q219" s="325" t="s">
        <v>78</v>
      </c>
      <c r="R219" s="325" t="s">
        <v>78</v>
      </c>
      <c r="S219" s="325" t="s">
        <v>78</v>
      </c>
      <c r="T219" s="325" t="s">
        <v>78</v>
      </c>
      <c r="U219" s="325" t="s">
        <v>78</v>
      </c>
      <c r="V219" s="325" t="s">
        <v>78</v>
      </c>
      <c r="W219" s="325" t="s">
        <v>78</v>
      </c>
      <c r="X219" s="325" t="s">
        <v>78</v>
      </c>
      <c r="Y219" s="325" t="s">
        <v>78</v>
      </c>
      <c r="Z219" s="325" t="s">
        <v>78</v>
      </c>
      <c r="AA219" s="52">
        <f>'FY 2013 by Agency'!AA219*Inflator!$E$11</f>
        <v>0</v>
      </c>
      <c r="AB219" s="39" t="e">
        <f t="shared" si="221"/>
        <v>#VALUE!</v>
      </c>
      <c r="AC219" s="58" t="e">
        <f t="shared" si="222"/>
        <v>#VALUE!</v>
      </c>
      <c r="AD219" s="52" t="e">
        <f>'FY 2013 by Agency'!AD219*Inflator!#REF!</f>
        <v>#REF!</v>
      </c>
      <c r="AE219" s="52">
        <f>'FY 2013 by Agency'!AE219*Inflator!$B$8</f>
        <v>0</v>
      </c>
      <c r="AF219" s="52">
        <f>'FY 2013 by Agency'!AF219*Inflator!$E$12</f>
        <v>99059.364661654152</v>
      </c>
      <c r="AG219" s="52">
        <f t="shared" si="223"/>
        <v>99059.364661654152</v>
      </c>
      <c r="AH219" s="58" t="e">
        <f t="shared" si="224"/>
        <v>#DIV/0!</v>
      </c>
      <c r="AI219" s="52">
        <f>'FY 2013 by Agency'!AI219*Inflator!$B$8</f>
        <v>0</v>
      </c>
      <c r="AJ219" s="52">
        <f>'FY 2013 by Agency'!AJ219*Inflator!$B$8</f>
        <v>0</v>
      </c>
      <c r="AK219" s="52">
        <f>'FY 2013 by Agency'!AK219</f>
        <v>0</v>
      </c>
      <c r="AL219" s="52">
        <f>'FY 2013 by Agency'!AL219</f>
        <v>0</v>
      </c>
      <c r="AM219" s="52">
        <f>'FY 2013 by Agency'!AM219</f>
        <v>0</v>
      </c>
      <c r="AN219" s="52">
        <f>'FY 2013 by Agency'!AN219</f>
        <v>0</v>
      </c>
      <c r="AO219" s="52">
        <f>'FY 2013 by Agency'!AO219</f>
        <v>101696</v>
      </c>
      <c r="AP219" s="52">
        <f>'FY 2013 by Agency'!AP219</f>
        <v>0</v>
      </c>
      <c r="AQ219" s="52">
        <f>'FY 2013 by Agency'!AQ219</f>
        <v>0</v>
      </c>
      <c r="AR219" s="52">
        <f>'FY 2013 by Agency'!AR219</f>
        <v>0</v>
      </c>
      <c r="AS219" s="52">
        <f>'FY 2013 by Agency'!AS219</f>
        <v>96844</v>
      </c>
      <c r="AT219" s="52" t="e">
        <f t="shared" si="225"/>
        <v>#REF!</v>
      </c>
      <c r="AU219" s="58" t="e">
        <f t="shared" si="226"/>
        <v>#REF!</v>
      </c>
      <c r="AV219" s="52">
        <f t="shared" si="227"/>
        <v>-2215.3646616541519</v>
      </c>
      <c r="AW219" s="58">
        <f t="shared" si="228"/>
        <v>-2.2364010401448888E-2</v>
      </c>
      <c r="AX219" s="285" t="s">
        <v>316</v>
      </c>
      <c r="AY219" s="65">
        <v>101696</v>
      </c>
      <c r="AZ219" s="280">
        <f t="shared" si="229"/>
        <v>0</v>
      </c>
      <c r="BA219" s="280">
        <f t="shared" si="230"/>
        <v>-2215.3646616541519</v>
      </c>
      <c r="BB219" s="280">
        <f t="shared" si="231"/>
        <v>96844</v>
      </c>
      <c r="BC219" s="58">
        <f t="shared" si="232"/>
        <v>-2.2364010401448864E-2</v>
      </c>
      <c r="BD219" s="280"/>
      <c r="BE219" s="280"/>
      <c r="BI219" s="246">
        <v>101696</v>
      </c>
      <c r="BJ219" s="65">
        <f t="shared" si="237"/>
        <v>0</v>
      </c>
      <c r="BK219" s="65">
        <f t="shared" si="238"/>
        <v>101696</v>
      </c>
      <c r="BL219" s="568">
        <f>'FY 2013 by Agency'!AS219*Inflator!$E$13</f>
        <v>100419.86939273728</v>
      </c>
      <c r="BM219" s="52">
        <f t="shared" si="239"/>
        <v>1360.5047310831287</v>
      </c>
      <c r="BN219" s="51">
        <f t="shared" si="233"/>
        <v>1.3734236391784367E-2</v>
      </c>
      <c r="BO219" s="52">
        <f>'FY 2013 by Agency'!AX219*Inflator!$E$13</f>
        <v>105451.02471772966</v>
      </c>
      <c r="BP219" s="52">
        <f t="shared" si="247"/>
        <v>6391.6600560755032</v>
      </c>
      <c r="BQ219" s="51">
        <f t="shared" si="248"/>
        <v>6.4523531701488016E-2</v>
      </c>
      <c r="BR219" s="52">
        <f>'FY 2013 by Agency'!BE219*Inflator!$E$14</f>
        <v>103206.25977903853</v>
      </c>
      <c r="BS219" s="52">
        <f t="shared" si="249"/>
        <v>-2244.7649386911216</v>
      </c>
      <c r="BT219" s="51">
        <f t="shared" si="250"/>
        <v>-2.1287274777081474E-2</v>
      </c>
      <c r="BU219" s="69">
        <f>'FY 2013 by Agency'!BL219*Inflator!$E$14</f>
        <v>103206.25977903853</v>
      </c>
      <c r="BV219" s="52">
        <f t="shared" si="240"/>
        <v>2786.3903863012529</v>
      </c>
      <c r="BW219" s="39">
        <v>103729</v>
      </c>
      <c r="BX219" s="39">
        <f>'FY 2013 by Agency'!BW219*Inflator!E15</f>
        <v>103729</v>
      </c>
      <c r="BY219" s="534">
        <v>103729</v>
      </c>
      <c r="BZ219" s="39">
        <f t="shared" si="241"/>
        <v>522.74022096146655</v>
      </c>
      <c r="CA219" s="51">
        <f t="shared" si="242"/>
        <v>5.0650049917576462E-3</v>
      </c>
      <c r="CC219" s="39"/>
    </row>
    <row r="220" spans="1:81" s="63" customFormat="1" ht="18" customHeight="1">
      <c r="A220" s="53" t="s">
        <v>126</v>
      </c>
      <c r="B220" s="325" t="s">
        <v>78</v>
      </c>
      <c r="C220" s="325" t="s">
        <v>78</v>
      </c>
      <c r="D220" s="325" t="s">
        <v>78</v>
      </c>
      <c r="E220" s="325" t="s">
        <v>78</v>
      </c>
      <c r="F220" s="325" t="s">
        <v>78</v>
      </c>
      <c r="G220" s="325" t="s">
        <v>78</v>
      </c>
      <c r="H220" s="325" t="s">
        <v>78</v>
      </c>
      <c r="I220" s="325" t="s">
        <v>78</v>
      </c>
      <c r="J220" s="325" t="s">
        <v>78</v>
      </c>
      <c r="K220" s="325" t="s">
        <v>78</v>
      </c>
      <c r="L220" s="325" t="s">
        <v>78</v>
      </c>
      <c r="M220" s="325" t="s">
        <v>78</v>
      </c>
      <c r="N220" s="325" t="s">
        <v>78</v>
      </c>
      <c r="O220" s="325" t="s">
        <v>78</v>
      </c>
      <c r="P220" s="325" t="s">
        <v>78</v>
      </c>
      <c r="Q220" s="325" t="s">
        <v>78</v>
      </c>
      <c r="R220" s="325" t="s">
        <v>78</v>
      </c>
      <c r="S220" s="325" t="s">
        <v>78</v>
      </c>
      <c r="T220" s="325" t="s">
        <v>78</v>
      </c>
      <c r="U220" s="325" t="s">
        <v>78</v>
      </c>
      <c r="V220" s="325" t="s">
        <v>78</v>
      </c>
      <c r="W220" s="325" t="s">
        <v>78</v>
      </c>
      <c r="X220" s="325" t="s">
        <v>78</v>
      </c>
      <c r="Y220" s="325" t="s">
        <v>78</v>
      </c>
      <c r="Z220" s="325" t="s">
        <v>78</v>
      </c>
      <c r="AA220" s="52">
        <f>'FY 2013 by Agency'!AA220*Inflator!$E$11</f>
        <v>0</v>
      </c>
      <c r="AB220" s="39" t="e">
        <f t="shared" si="221"/>
        <v>#VALUE!</v>
      </c>
      <c r="AC220" s="58" t="e">
        <f t="shared" si="222"/>
        <v>#VALUE!</v>
      </c>
      <c r="AD220" s="52" t="e">
        <f>'FY 2013 by Agency'!AD220*Inflator!#REF!</f>
        <v>#REF!</v>
      </c>
      <c r="AE220" s="52">
        <f>'FY 2013 by Agency'!AE220*Inflator!$B$8</f>
        <v>0</v>
      </c>
      <c r="AF220" s="52">
        <f>'FY 2013 by Agency'!AF220*Inflator!$E$12</f>
        <v>0</v>
      </c>
      <c r="AG220" s="52">
        <f t="shared" si="223"/>
        <v>0</v>
      </c>
      <c r="AH220" s="58" t="e">
        <f t="shared" si="224"/>
        <v>#DIV/0!</v>
      </c>
      <c r="AI220" s="52">
        <f>'FY 2013 by Agency'!AI220*Inflator!$B$8</f>
        <v>0</v>
      </c>
      <c r="AJ220" s="52">
        <f>'FY 2013 by Agency'!AJ220*Inflator!$B$8</f>
        <v>0</v>
      </c>
      <c r="AK220" s="52">
        <f>'FY 2013 by Agency'!AK220</f>
        <v>0</v>
      </c>
      <c r="AL220" s="52">
        <f>'FY 2013 by Agency'!AL220</f>
        <v>0</v>
      </c>
      <c r="AM220" s="52">
        <f>'FY 2013 by Agency'!AM220</f>
        <v>0</v>
      </c>
      <c r="AN220" s="52">
        <f>'FY 2013 by Agency'!AN220</f>
        <v>0</v>
      </c>
      <c r="AO220" s="52">
        <f>'FY 2013 by Agency'!AO220</f>
        <v>0</v>
      </c>
      <c r="AP220" s="52">
        <f>'FY 2013 by Agency'!AP220</f>
        <v>0</v>
      </c>
      <c r="AQ220" s="52">
        <f>'FY 2013 by Agency'!AQ220</f>
        <v>0</v>
      </c>
      <c r="AR220" s="52">
        <f>'FY 2013 by Agency'!AR220</f>
        <v>0</v>
      </c>
      <c r="AS220" s="52">
        <f>'FY 2013 by Agency'!AS220</f>
        <v>782.93320000000006</v>
      </c>
      <c r="AT220" s="52" t="e">
        <f t="shared" si="225"/>
        <v>#REF!</v>
      </c>
      <c r="AU220" s="58" t="e">
        <f t="shared" si="226"/>
        <v>#REF!</v>
      </c>
      <c r="AV220" s="52">
        <f t="shared" si="227"/>
        <v>782.93320000000006</v>
      </c>
      <c r="AW220" s="58" t="e">
        <f t="shared" si="228"/>
        <v>#DIV/0!</v>
      </c>
      <c r="AX220" s="72"/>
      <c r="AY220" s="80"/>
      <c r="AZ220" s="80">
        <f>SUM(AZ198:AZ219)</f>
        <v>-8600</v>
      </c>
      <c r="BA220" s="280">
        <f t="shared" si="230"/>
        <v>-7817.0667999999996</v>
      </c>
      <c r="BB220" s="280">
        <f t="shared" si="231"/>
        <v>-7817.0667999999996</v>
      </c>
      <c r="BC220" s="58" t="e">
        <f t="shared" si="232"/>
        <v>#DIV/0!</v>
      </c>
      <c r="BD220" s="304"/>
      <c r="BE220" s="304"/>
      <c r="BI220" s="80"/>
      <c r="BJ220" s="65">
        <f t="shared" si="237"/>
        <v>0</v>
      </c>
      <c r="BK220" s="65">
        <f t="shared" si="238"/>
        <v>0</v>
      </c>
      <c r="BL220" s="568">
        <f>'FY 2013 by Agency'!AS220*Inflator!$E$13</f>
        <v>811.84223790051897</v>
      </c>
      <c r="BM220" s="52">
        <f t="shared" si="239"/>
        <v>811.84223790051897</v>
      </c>
      <c r="BN220" s="51" t="e">
        <f t="shared" si="233"/>
        <v>#DIV/0!</v>
      </c>
      <c r="BO220" s="52">
        <f>'FY 2013 by Agency'!AX220*Inflator!$E$13</f>
        <v>0</v>
      </c>
      <c r="BP220" s="52">
        <f t="shared" si="247"/>
        <v>0</v>
      </c>
      <c r="BQ220" s="51" t="e">
        <f t="shared" si="248"/>
        <v>#DIV/0!</v>
      </c>
      <c r="BR220" s="52">
        <f>'FY 2013 by Agency'!BE220*Inflator!$E$14</f>
        <v>0</v>
      </c>
      <c r="BS220" s="52">
        <f t="shared" si="249"/>
        <v>0</v>
      </c>
      <c r="BT220" s="51" t="e">
        <f t="shared" si="250"/>
        <v>#DIV/0!</v>
      </c>
      <c r="BU220" s="69">
        <f>'FY 2013 by Agency'!BL220*Inflator!$E$14</f>
        <v>0</v>
      </c>
      <c r="BV220" s="52">
        <f t="shared" si="240"/>
        <v>-811.84223790051897</v>
      </c>
      <c r="BW220" s="535">
        <v>0</v>
      </c>
      <c r="BX220" s="39">
        <f>'FY 2013 by Agency'!BW220*Inflator!E15</f>
        <v>21477</v>
      </c>
      <c r="BY220" s="535"/>
      <c r="BZ220" s="39">
        <f t="shared" si="241"/>
        <v>0</v>
      </c>
      <c r="CA220" s="51" t="e">
        <f t="shared" si="242"/>
        <v>#DIV/0!</v>
      </c>
      <c r="CC220" s="39"/>
    </row>
    <row r="221" spans="1:81" s="306" customFormat="1" ht="18" customHeight="1" thickBot="1">
      <c r="A221" s="254" t="s">
        <v>362</v>
      </c>
      <c r="B221" s="329" t="s">
        <v>78</v>
      </c>
      <c r="C221" s="329" t="s">
        <v>78</v>
      </c>
      <c r="D221" s="329" t="s">
        <v>78</v>
      </c>
      <c r="E221" s="329" t="s">
        <v>78</v>
      </c>
      <c r="F221" s="329" t="s">
        <v>78</v>
      </c>
      <c r="G221" s="329" t="s">
        <v>78</v>
      </c>
      <c r="H221" s="329" t="s">
        <v>78</v>
      </c>
      <c r="I221" s="329" t="s">
        <v>78</v>
      </c>
      <c r="J221" s="329" t="s">
        <v>78</v>
      </c>
      <c r="K221" s="329" t="s">
        <v>78</v>
      </c>
      <c r="L221" s="329" t="s">
        <v>78</v>
      </c>
      <c r="M221" s="329" t="s">
        <v>78</v>
      </c>
      <c r="N221" s="329" t="s">
        <v>78</v>
      </c>
      <c r="O221" s="329" t="s">
        <v>78</v>
      </c>
      <c r="P221" s="329" t="s">
        <v>78</v>
      </c>
      <c r="Q221" s="329" t="s">
        <v>78</v>
      </c>
      <c r="R221" s="329" t="s">
        <v>78</v>
      </c>
      <c r="S221" s="329" t="s">
        <v>78</v>
      </c>
      <c r="T221" s="329" t="s">
        <v>78</v>
      </c>
      <c r="U221" s="329" t="s">
        <v>78</v>
      </c>
      <c r="V221" s="329" t="s">
        <v>78</v>
      </c>
      <c r="W221" s="329" t="s">
        <v>78</v>
      </c>
      <c r="X221" s="329" t="s">
        <v>78</v>
      </c>
      <c r="Y221" s="329" t="s">
        <v>78</v>
      </c>
      <c r="Z221" s="329" t="s">
        <v>78</v>
      </c>
      <c r="AA221" s="75">
        <f>'FY 2013 by Agency'!AA221*Inflator!$E$11</f>
        <v>0</v>
      </c>
      <c r="AB221" s="102"/>
      <c r="AC221" s="77"/>
      <c r="AD221" s="75" t="e">
        <f>'FY 2013 by Agency'!AD221*Inflator!#REF!</f>
        <v>#REF!</v>
      </c>
      <c r="AE221" s="75"/>
      <c r="AF221" s="75"/>
      <c r="AG221" s="75"/>
      <c r="AH221" s="77"/>
      <c r="AI221" s="75"/>
      <c r="AJ221" s="75"/>
      <c r="AK221" s="75"/>
      <c r="AL221" s="75"/>
      <c r="AM221" s="75"/>
      <c r="AN221" s="75"/>
      <c r="AO221" s="75"/>
      <c r="AP221" s="75"/>
      <c r="AQ221" s="75"/>
      <c r="AR221" s="75"/>
      <c r="AS221" s="75"/>
      <c r="AT221" s="75"/>
      <c r="AU221" s="77"/>
      <c r="AV221" s="75"/>
      <c r="AW221" s="77"/>
      <c r="AX221" s="77"/>
      <c r="AY221" s="94"/>
      <c r="AZ221" s="94"/>
      <c r="BA221" s="283"/>
      <c r="BB221" s="283"/>
      <c r="BC221" s="77"/>
      <c r="BD221" s="283"/>
      <c r="BE221" s="283"/>
      <c r="BF221" s="54"/>
      <c r="BG221" s="54"/>
      <c r="BH221" s="54"/>
      <c r="BI221" s="94">
        <v>3000</v>
      </c>
      <c r="BJ221" s="94">
        <f t="shared" si="237"/>
        <v>3000</v>
      </c>
      <c r="BK221" s="94">
        <f t="shared" si="238"/>
        <v>3000</v>
      </c>
      <c r="BL221" s="576">
        <f>'FY 2013 by Agency'!AS221*Inflator!$E$13</f>
        <v>0</v>
      </c>
      <c r="BM221" s="52">
        <f t="shared" si="239"/>
        <v>0</v>
      </c>
      <c r="BN221" s="55" t="e">
        <f t="shared" si="233"/>
        <v>#DIV/0!</v>
      </c>
      <c r="BO221" s="75">
        <f>'FY 2013 by Agency'!AX221*Inflator!$E$13</f>
        <v>3110.772047604517</v>
      </c>
      <c r="BP221" s="75">
        <f t="shared" si="247"/>
        <v>3110.772047604517</v>
      </c>
      <c r="BQ221" s="55" t="e">
        <f t="shared" si="248"/>
        <v>#DIV/0!</v>
      </c>
      <c r="BR221" s="75">
        <f>'FY 2013 by Agency'!BE221*Inflator!$E$14</f>
        <v>3043.8936996118246</v>
      </c>
      <c r="BS221" s="75">
        <f t="shared" si="249"/>
        <v>-66.878347992692397</v>
      </c>
      <c r="BT221" s="55">
        <f t="shared" si="250"/>
        <v>-2.1498954911914159E-2</v>
      </c>
      <c r="BU221" s="75">
        <f>'FY 2013 by Agency'!BL221*Inflator!$E$14</f>
        <v>3043.8936996118246</v>
      </c>
      <c r="BV221" s="52">
        <f t="shared" si="240"/>
        <v>3043.8936996118246</v>
      </c>
      <c r="BW221" s="40">
        <v>3000</v>
      </c>
      <c r="BX221" s="39">
        <f>'FY 2013 by Agency'!BW221*Inflator!E15</f>
        <v>3000</v>
      </c>
      <c r="BY221" s="535">
        <v>750</v>
      </c>
      <c r="BZ221" s="39">
        <f t="shared" si="241"/>
        <v>-43.893699611824559</v>
      </c>
      <c r="CA221" s="51">
        <f t="shared" si="242"/>
        <v>-1.442024720423783E-2</v>
      </c>
      <c r="CC221" s="39"/>
    </row>
    <row r="222" spans="1:81" s="85" customFormat="1" ht="18" customHeight="1">
      <c r="A222" s="85" t="s">
        <v>62</v>
      </c>
      <c r="B222" s="322">
        <f>'FY 2013 by Agency'!B222*Inflator!$E$2</f>
        <v>534836.79984051036</v>
      </c>
      <c r="C222" s="322">
        <f>'FY 2013 by Agency'!C222*Inflator!$E$3</f>
        <v>357224.59737248841</v>
      </c>
      <c r="D222" s="47">
        <f t="shared" si="243"/>
        <v>-177612.20246802195</v>
      </c>
      <c r="E222" s="356">
        <f t="shared" ref="E222:E244" si="252">(C222-B222)/B222</f>
        <v>-0.33208672724275207</v>
      </c>
      <c r="F222" s="10">
        <f>'FY 2013 by Agency'!F222*Inflator!$E$4</f>
        <v>360211.28283212788</v>
      </c>
      <c r="G222" s="46">
        <f t="shared" si="244"/>
        <v>2986.6854596394696</v>
      </c>
      <c r="H222" s="388">
        <f t="shared" ref="H222:H244" si="253">(F222-C222)/C222</f>
        <v>8.3608057272863724E-3</v>
      </c>
      <c r="I222" s="10">
        <f>'FY 2013 by Agency'!I222*Inflator!$E$5</f>
        <v>371609.02045370033</v>
      </c>
      <c r="J222" s="46">
        <f t="shared" si="245"/>
        <v>11397.737621572451</v>
      </c>
      <c r="K222" s="388">
        <f t="shared" ref="K222:K244" si="254">(I222-F222)/F222</f>
        <v>3.1641811805445938E-2</v>
      </c>
      <c r="L222" s="10">
        <f>'FY 2013 by Agency'!L222*Inflator!$E$6</f>
        <v>492868.10396219551</v>
      </c>
      <c r="M222" s="12">
        <f t="shared" si="246"/>
        <v>121259.08350849518</v>
      </c>
      <c r="N222" s="15">
        <f t="shared" ref="N222:N244" si="255">(L222-I222)/I222</f>
        <v>0.32630823482284965</v>
      </c>
      <c r="O222" s="10">
        <f>'FY 2013 by Agency'!O222*Inflator!$E$7</f>
        <v>512813.33826117555</v>
      </c>
      <c r="P222" s="141">
        <f t="shared" si="234"/>
        <v>19945.234298980038</v>
      </c>
      <c r="Q222" s="389">
        <f>P222/L222</f>
        <v>4.0467691332912663E-2</v>
      </c>
      <c r="R222" s="52">
        <f>'FY 2013 by Agency'!R222*Inflator!$E$8</f>
        <v>989985.26951799041</v>
      </c>
      <c r="S222" s="141">
        <f t="shared" si="251"/>
        <v>477171.93125681486</v>
      </c>
      <c r="T222" s="389">
        <f>S222/O222</f>
        <v>0.93049828398533474</v>
      </c>
      <c r="U222" s="52">
        <f>'FY 2013 by Agency'!U222*Inflator!$E$9</f>
        <v>682529.31034482759</v>
      </c>
      <c r="V222" s="141">
        <f t="shared" si="235"/>
        <v>-307455.95917316282</v>
      </c>
      <c r="W222" s="389">
        <f>V222/R222</f>
        <v>-0.31056619592214607</v>
      </c>
      <c r="X222" s="52">
        <f>'FY 2013 by Agency'!X222*Inflator!$E$10</f>
        <v>901978.54366465553</v>
      </c>
      <c r="Y222" s="33">
        <f>X222-U222</f>
        <v>219449.23331982794</v>
      </c>
      <c r="Z222" s="389">
        <f>Y222/U222</f>
        <v>0.3215235301894328</v>
      </c>
      <c r="AA222" s="52">
        <f>'FY 2013 by Agency'!AA222*Inflator!$E$11</f>
        <v>1047682.7480089202</v>
      </c>
      <c r="AB222" s="33">
        <f t="shared" si="221"/>
        <v>145704.2043442647</v>
      </c>
      <c r="AC222" s="45">
        <f t="shared" si="222"/>
        <v>0.16153843721412925</v>
      </c>
      <c r="AD222" s="12" t="e">
        <f>'FY 2013 by Agency'!AD222*Inflator!#REF!</f>
        <v>#REF!</v>
      </c>
      <c r="AE222" s="141">
        <f>SUM(AE198:AE220)</f>
        <v>0</v>
      </c>
      <c r="AF222" s="52">
        <f>'FY 2013 by Agency'!AF222*Inflator!$E$12</f>
        <v>813824.19360902265</v>
      </c>
      <c r="AG222" s="46">
        <f t="shared" si="223"/>
        <v>-233858.55439989758</v>
      </c>
      <c r="AH222" s="45">
        <f t="shared" si="224"/>
        <v>-0.22321504753641935</v>
      </c>
      <c r="AI222" s="141">
        <f t="shared" ref="AI222:AS222" si="256">SUM(AI198:AI220)</f>
        <v>0</v>
      </c>
      <c r="AJ222" s="141">
        <f t="shared" si="256"/>
        <v>0</v>
      </c>
      <c r="AK222" s="141">
        <f t="shared" si="256"/>
        <v>703920</v>
      </c>
      <c r="AL222" s="141">
        <f t="shared" si="256"/>
        <v>3467</v>
      </c>
      <c r="AM222" s="141">
        <f t="shared" si="256"/>
        <v>707387</v>
      </c>
      <c r="AN222" s="141">
        <f t="shared" si="256"/>
        <v>643142</v>
      </c>
      <c r="AO222" s="141">
        <f t="shared" si="256"/>
        <v>905453</v>
      </c>
      <c r="AP222" s="141">
        <f t="shared" si="256"/>
        <v>0</v>
      </c>
      <c r="AQ222" s="141">
        <f t="shared" si="256"/>
        <v>0</v>
      </c>
      <c r="AR222" s="141">
        <f t="shared" si="256"/>
        <v>0</v>
      </c>
      <c r="AS222" s="141">
        <f t="shared" si="256"/>
        <v>861536.56293000001</v>
      </c>
      <c r="AT222" s="46" t="e">
        <f t="shared" si="225"/>
        <v>#REF!</v>
      </c>
      <c r="AU222" s="45" t="e">
        <f t="shared" si="226"/>
        <v>#REF!</v>
      </c>
      <c r="AV222" s="46">
        <f t="shared" si="227"/>
        <v>47712.369320977363</v>
      </c>
      <c r="AW222" s="45">
        <f t="shared" si="228"/>
        <v>5.8627366568435216E-2</v>
      </c>
      <c r="AX222" s="45"/>
      <c r="AY222" s="90">
        <f>SUM(AY198:AY221)</f>
        <v>896853</v>
      </c>
      <c r="AZ222" s="45">
        <f>+AY222/AF222</f>
        <v>1.1020230254187626</v>
      </c>
      <c r="BA222" s="45"/>
      <c r="BB222" s="390">
        <f>SUM(BB198:BB220)</f>
        <v>844336.56293000001</v>
      </c>
      <c r="BC222" s="45">
        <f t="shared" si="232"/>
        <v>3.7492580781686824E-2</v>
      </c>
      <c r="BD222" s="391">
        <f>SUM(BD198:BD220)</f>
        <v>0</v>
      </c>
      <c r="BE222" s="391"/>
      <c r="BF222" s="388">
        <f>(BB222-X222)/X222</f>
        <v>-6.3906155129213466E-2</v>
      </c>
      <c r="BI222" s="392">
        <f>SUM(BI198:BI221)</f>
        <v>938024</v>
      </c>
      <c r="BJ222" s="90">
        <f>SUM(BJ198:BJ221)</f>
        <v>41171</v>
      </c>
      <c r="BK222" s="392">
        <f>SUM(BK198:BK221)</f>
        <v>938024</v>
      </c>
      <c r="BL222" s="574">
        <f>SUM(BL198:BL221)</f>
        <v>893347.95265063772</v>
      </c>
      <c r="BM222" s="52">
        <f t="shared" si="239"/>
        <v>79523.759041615063</v>
      </c>
      <c r="BN222" s="532">
        <f>BM222/AF222</f>
        <v>9.7716140250089276E-2</v>
      </c>
      <c r="BO222" s="12">
        <f>'FY 2013 by Agency'!AX222*Inflator!$E$13</f>
        <v>972659.61306072643</v>
      </c>
      <c r="BP222" s="12">
        <f t="shared" si="247"/>
        <v>158835.41945170378</v>
      </c>
      <c r="BQ222" s="15">
        <f t="shared" si="248"/>
        <v>0.1951716607825639</v>
      </c>
      <c r="BR222" s="12">
        <f>'FY 2013 by Agency'!BE222*Inflator!$E$14</f>
        <v>1017140.4162436549</v>
      </c>
      <c r="BS222" s="12">
        <f t="shared" si="249"/>
        <v>44480.803182928474</v>
      </c>
      <c r="BT222" s="15">
        <f t="shared" si="250"/>
        <v>4.5731109409342142E-2</v>
      </c>
      <c r="BU222" s="141">
        <f>SUM(BU198:BU221)</f>
        <v>1017140.4162436547</v>
      </c>
      <c r="BV222" s="52">
        <f t="shared" si="240"/>
        <v>123792.46359301696</v>
      </c>
      <c r="BW222" s="30">
        <f>SUM(BW198:BW221)</f>
        <v>1033696</v>
      </c>
      <c r="BX222" s="141" t="e">
        <f>SUM(BX198:BX221)</f>
        <v>#REF!</v>
      </c>
      <c r="BY222" s="30">
        <f>SUM(BY198:BY221)</f>
        <v>1040106</v>
      </c>
      <c r="BZ222" s="39">
        <f t="shared" si="241"/>
        <v>16555.583756345091</v>
      </c>
      <c r="CA222" s="51">
        <f t="shared" si="242"/>
        <v>1.6276596123754088E-2</v>
      </c>
      <c r="CC222" s="39"/>
    </row>
    <row r="223" spans="1:81" s="85" customFormat="1" ht="18" customHeight="1">
      <c r="B223" s="322"/>
      <c r="C223" s="322"/>
      <c r="D223" s="47"/>
      <c r="E223" s="356"/>
      <c r="F223" s="10"/>
      <c r="G223" s="46"/>
      <c r="H223" s="388"/>
      <c r="I223" s="10"/>
      <c r="J223" s="46"/>
      <c r="K223" s="388"/>
      <c r="L223" s="10"/>
      <c r="M223" s="12"/>
      <c r="N223" s="15"/>
      <c r="O223" s="10"/>
      <c r="P223" s="141"/>
      <c r="Q223" s="389"/>
      <c r="R223" s="52"/>
      <c r="S223" s="141"/>
      <c r="T223" s="389"/>
      <c r="U223" s="52"/>
      <c r="V223" s="141"/>
      <c r="W223" s="389"/>
      <c r="X223" s="52"/>
      <c r="Y223" s="33"/>
      <c r="Z223" s="389"/>
      <c r="AA223" s="52"/>
      <c r="AB223" s="33"/>
      <c r="AC223" s="45"/>
      <c r="AD223" s="12"/>
      <c r="AE223" s="141"/>
      <c r="AF223" s="52"/>
      <c r="AG223" s="46"/>
      <c r="AH223" s="45"/>
      <c r="AI223" s="141"/>
      <c r="AJ223" s="141"/>
      <c r="AK223" s="141"/>
      <c r="AL223" s="141"/>
      <c r="AM223" s="141"/>
      <c r="AN223" s="141"/>
      <c r="AO223" s="141"/>
      <c r="AP223" s="141"/>
      <c r="AQ223" s="141"/>
      <c r="AR223" s="141"/>
      <c r="AS223" s="141"/>
      <c r="AT223" s="46"/>
      <c r="AU223" s="45"/>
      <c r="AV223" s="46"/>
      <c r="AW223" s="45"/>
      <c r="AX223" s="45"/>
      <c r="AY223" s="90"/>
      <c r="AZ223" s="45"/>
      <c r="BA223" s="45"/>
      <c r="BB223" s="390"/>
      <c r="BC223" s="45"/>
      <c r="BD223" s="391"/>
      <c r="BE223" s="391"/>
      <c r="BF223" s="388"/>
      <c r="BI223" s="392"/>
      <c r="BJ223" s="90"/>
      <c r="BK223" s="392"/>
      <c r="BL223" s="574"/>
      <c r="BM223" s="205"/>
      <c r="BN223" s="532"/>
      <c r="BO223" s="52"/>
      <c r="BP223" s="52"/>
      <c r="BQ223" s="50"/>
      <c r="BR223" s="52"/>
      <c r="BS223" s="52"/>
      <c r="BT223" s="50"/>
      <c r="BU223" s="205"/>
      <c r="BV223" s="205"/>
      <c r="BW223" s="39"/>
      <c r="BY223" s="534"/>
      <c r="BZ223" s="39">
        <f t="shared" si="241"/>
        <v>0</v>
      </c>
      <c r="CA223" s="51" t="e">
        <f t="shared" si="242"/>
        <v>#DIV/0!</v>
      </c>
      <c r="CC223" s="39"/>
    </row>
    <row r="224" spans="1:81" s="63" customFormat="1" ht="18" customHeight="1">
      <c r="A224" s="73" t="s">
        <v>197</v>
      </c>
      <c r="B224" s="322"/>
      <c r="C224" s="322"/>
      <c r="D224" s="325"/>
      <c r="E224" s="325"/>
      <c r="F224" s="10"/>
      <c r="G224" s="10"/>
      <c r="H224" s="325"/>
      <c r="I224" s="325"/>
      <c r="J224" s="325"/>
      <c r="K224" s="325"/>
      <c r="L224" s="10"/>
      <c r="M224" s="10"/>
      <c r="N224" s="14"/>
      <c r="O224" s="10"/>
      <c r="P224" s="46"/>
      <c r="Q224" s="36"/>
      <c r="R224" s="52"/>
      <c r="S224" s="12"/>
      <c r="T224" s="36"/>
      <c r="U224" s="52"/>
      <c r="V224" s="46"/>
      <c r="W224" s="45"/>
      <c r="X224" s="52"/>
      <c r="Y224" s="30"/>
      <c r="Z224" s="36"/>
      <c r="AA224" s="52"/>
      <c r="AB224" s="30"/>
      <c r="AC224" s="12"/>
      <c r="AD224" s="52"/>
      <c r="AE224" s="47"/>
      <c r="AF224" s="12"/>
      <c r="AG224" s="12"/>
      <c r="AH224" s="12"/>
      <c r="AI224" s="46"/>
      <c r="AJ224" s="90"/>
      <c r="AK224" s="90"/>
      <c r="AL224" s="90"/>
      <c r="AM224" s="90"/>
      <c r="AN224" s="165"/>
      <c r="AO224" s="97"/>
      <c r="AP224" s="46"/>
      <c r="AQ224" s="46"/>
      <c r="AR224" s="46"/>
      <c r="AS224" s="46"/>
      <c r="AT224" s="12"/>
      <c r="AU224" s="30"/>
      <c r="AV224" s="97"/>
      <c r="AW224" s="141"/>
      <c r="BD224" s="304"/>
      <c r="BE224" s="304"/>
      <c r="BI224" s="80"/>
      <c r="BK224" s="317"/>
      <c r="BL224" s="569"/>
      <c r="BM224" s="69"/>
      <c r="BN224" s="388"/>
      <c r="BP224" s="52"/>
      <c r="BQ224" s="50"/>
      <c r="BR224" s="52"/>
      <c r="BS224" s="52"/>
      <c r="BT224" s="50"/>
      <c r="BU224" s="69"/>
      <c r="BV224" s="69"/>
      <c r="BW224" s="39"/>
      <c r="BX224" s="141"/>
      <c r="BY224" s="534"/>
      <c r="BZ224" s="39">
        <f t="shared" si="241"/>
        <v>0</v>
      </c>
      <c r="CA224" s="51" t="e">
        <f t="shared" si="242"/>
        <v>#DIV/0!</v>
      </c>
      <c r="CC224" s="39"/>
    </row>
    <row r="225" spans="1:81" s="63" customFormat="1" ht="18" customHeight="1">
      <c r="A225" s="251" t="s">
        <v>363</v>
      </c>
      <c r="B225" s="322"/>
      <c r="C225" s="322"/>
      <c r="D225" s="325"/>
      <c r="E225" s="325"/>
      <c r="F225" s="10"/>
      <c r="G225" s="10"/>
      <c r="H225" s="325"/>
      <c r="I225" s="325"/>
      <c r="J225" s="325"/>
      <c r="K225" s="325"/>
      <c r="L225" s="10"/>
      <c r="M225" s="10"/>
      <c r="N225" s="14"/>
      <c r="O225" s="10"/>
      <c r="P225" s="46"/>
      <c r="Q225" s="36"/>
      <c r="R225" s="52"/>
      <c r="S225" s="12"/>
      <c r="T225" s="36"/>
      <c r="U225" s="52"/>
      <c r="V225" s="46"/>
      <c r="W225" s="45"/>
      <c r="X225" s="52"/>
      <c r="Y225" s="30"/>
      <c r="Z225" s="36"/>
      <c r="AA225" s="52"/>
      <c r="AB225" s="30"/>
      <c r="AC225" s="12"/>
      <c r="AD225" s="52"/>
      <c r="AE225" s="47"/>
      <c r="AF225" s="12"/>
      <c r="AG225" s="12"/>
      <c r="AH225" s="12"/>
      <c r="AI225" s="46"/>
      <c r="AJ225" s="90"/>
      <c r="AK225" s="90"/>
      <c r="AL225" s="90"/>
      <c r="AM225" s="90"/>
      <c r="AN225" s="165"/>
      <c r="AO225" s="97"/>
      <c r="AP225" s="46"/>
      <c r="AQ225" s="46"/>
      <c r="AR225" s="46"/>
      <c r="AS225" s="46"/>
      <c r="AT225" s="12"/>
      <c r="AU225" s="30"/>
      <c r="AV225" s="97"/>
      <c r="AW225" s="141"/>
      <c r="AY225" s="288"/>
      <c r="BD225" s="304"/>
      <c r="BE225" s="304"/>
      <c r="BI225" s="80"/>
      <c r="BK225" s="317"/>
      <c r="BL225" s="569"/>
      <c r="BM225" s="69"/>
      <c r="BN225" s="388"/>
      <c r="BP225" s="52"/>
      <c r="BQ225" s="50"/>
      <c r="BR225" s="52"/>
      <c r="BS225" s="52"/>
      <c r="BT225" s="50"/>
      <c r="BU225" s="69"/>
      <c r="BV225" s="69"/>
      <c r="BW225" s="39"/>
      <c r="BY225" s="534"/>
      <c r="BZ225" s="39">
        <f t="shared" si="241"/>
        <v>0</v>
      </c>
      <c r="CA225" s="51" t="e">
        <f t="shared" si="242"/>
        <v>#DIV/0!</v>
      </c>
      <c r="CC225" s="39"/>
    </row>
    <row r="226" spans="1:81" s="63" customFormat="1" ht="18" customHeight="1" thickBot="1">
      <c r="A226" s="251" t="s">
        <v>400</v>
      </c>
      <c r="B226" s="322"/>
      <c r="C226" s="322"/>
      <c r="D226" s="325"/>
      <c r="E226" s="325"/>
      <c r="F226" s="10"/>
      <c r="G226" s="10"/>
      <c r="H226" s="325"/>
      <c r="I226" s="325"/>
      <c r="J226" s="325"/>
      <c r="K226" s="325"/>
      <c r="L226" s="10"/>
      <c r="M226" s="10"/>
      <c r="N226" s="14"/>
      <c r="O226" s="10"/>
      <c r="P226" s="46"/>
      <c r="Q226" s="36"/>
      <c r="R226" s="52"/>
      <c r="S226" s="12"/>
      <c r="T226" s="36"/>
      <c r="U226" s="52"/>
      <c r="V226" s="46"/>
      <c r="W226" s="45"/>
      <c r="X226" s="52"/>
      <c r="Y226" s="30"/>
      <c r="Z226" s="36"/>
      <c r="AA226" s="52"/>
      <c r="AB226" s="30"/>
      <c r="AC226" s="28"/>
      <c r="AD226" s="52"/>
      <c r="AE226" s="180"/>
      <c r="AF226" s="163"/>
      <c r="AG226" s="163"/>
      <c r="AH226" s="163"/>
      <c r="AI226" s="163"/>
      <c r="AM226" s="84"/>
      <c r="AN226" s="172"/>
      <c r="AO226" s="101"/>
      <c r="AP226" s="69"/>
      <c r="AQ226" s="69"/>
      <c r="AR226" s="69"/>
      <c r="AS226" s="52"/>
      <c r="AT226" s="52"/>
      <c r="AU226" s="40"/>
      <c r="AV226" s="101"/>
      <c r="AW226" s="155"/>
      <c r="BD226" s="304"/>
      <c r="BE226" s="304"/>
      <c r="BI226" s="80"/>
      <c r="BK226" s="317"/>
      <c r="BL226" s="569"/>
      <c r="BM226" s="69"/>
      <c r="BN226" s="388"/>
      <c r="BP226" s="52"/>
      <c r="BQ226" s="50"/>
      <c r="BR226" s="52"/>
      <c r="BS226" s="52"/>
      <c r="BT226" s="50"/>
      <c r="BU226" s="69"/>
      <c r="BV226" s="69"/>
      <c r="BW226" s="102"/>
      <c r="BY226" s="535"/>
      <c r="BZ226" s="39">
        <f t="shared" si="241"/>
        <v>0</v>
      </c>
      <c r="CA226" s="51" t="e">
        <f t="shared" si="242"/>
        <v>#DIV/0!</v>
      </c>
      <c r="CC226" s="39"/>
    </row>
    <row r="227" spans="1:81" s="54" customFormat="1" ht="18" customHeight="1" thickBot="1">
      <c r="A227" s="247" t="s">
        <v>478</v>
      </c>
      <c r="B227" s="328"/>
      <c r="C227" s="328"/>
      <c r="D227" s="329"/>
      <c r="E227" s="329"/>
      <c r="F227" s="350"/>
      <c r="G227" s="350"/>
      <c r="H227" s="329"/>
      <c r="I227" s="329"/>
      <c r="J227" s="329"/>
      <c r="K227" s="329"/>
      <c r="L227" s="350"/>
      <c r="M227" s="350"/>
      <c r="N227" s="16"/>
      <c r="O227" s="350"/>
      <c r="P227" s="209"/>
      <c r="Q227" s="212"/>
      <c r="R227" s="75"/>
      <c r="S227" s="209"/>
      <c r="T227" s="212"/>
      <c r="U227" s="75"/>
      <c r="V227" s="209"/>
      <c r="W227" s="212"/>
      <c r="X227" s="75"/>
      <c r="Y227" s="213"/>
      <c r="Z227" s="212"/>
      <c r="AA227" s="75"/>
      <c r="AB227" s="213"/>
      <c r="AC227" s="214"/>
      <c r="AD227" s="75"/>
      <c r="AE227" s="215"/>
      <c r="AF227" s="216"/>
      <c r="AG227" s="216"/>
      <c r="AH227" s="216"/>
      <c r="AI227" s="216"/>
      <c r="AM227" s="127"/>
      <c r="AN227" s="174"/>
      <c r="AO227" s="129"/>
      <c r="AP227" s="75"/>
      <c r="AQ227" s="75"/>
      <c r="AR227" s="75"/>
      <c r="AS227" s="75"/>
      <c r="AT227" s="75"/>
      <c r="AU227" s="102"/>
      <c r="AV227" s="129"/>
      <c r="AW227" s="276"/>
      <c r="BD227" s="283"/>
      <c r="BE227" s="283"/>
      <c r="BI227" s="94"/>
      <c r="BK227" s="321"/>
      <c r="BL227" s="570"/>
      <c r="BM227" s="75"/>
      <c r="BN227" s="581"/>
      <c r="BP227" s="75"/>
      <c r="BR227" s="75"/>
      <c r="BS227" s="75"/>
      <c r="BU227" s="75"/>
      <c r="BV227" s="75"/>
      <c r="BW227" s="39"/>
      <c r="BY227" s="534"/>
      <c r="BZ227" s="39">
        <f t="shared" si="241"/>
        <v>0</v>
      </c>
      <c r="CA227" s="51" t="e">
        <f t="shared" si="242"/>
        <v>#DIV/0!</v>
      </c>
      <c r="CC227" s="39"/>
    </row>
    <row r="228" spans="1:81" s="63" customFormat="1" ht="18" hidden="1" customHeight="1">
      <c r="B228" s="322" t="e">
        <f>'FY 2013 by Agency'!B227*Inflator!#REF!</f>
        <v>#REF!</v>
      </c>
      <c r="C228" s="322" t="e">
        <f>'FY 2013 by Agency'!C227*Inflator!#REF!</f>
        <v>#REF!</v>
      </c>
      <c r="D228" s="322" t="e">
        <f t="shared" si="243"/>
        <v>#REF!</v>
      </c>
      <c r="E228" s="351" t="e">
        <f t="shared" si="252"/>
        <v>#REF!</v>
      </c>
      <c r="F228" s="10" t="e">
        <f>'FY 2013 by Agency'!F227*Inflator!#REF!</f>
        <v>#REF!</v>
      </c>
      <c r="G228" s="10" t="e">
        <f t="shared" si="244"/>
        <v>#REF!</v>
      </c>
      <c r="H228" s="14" t="e">
        <f t="shared" si="253"/>
        <v>#REF!</v>
      </c>
      <c r="I228" s="10" t="e">
        <f>'FY 2013 by Agency'!I227*Inflator!#REF!</f>
        <v>#REF!</v>
      </c>
      <c r="J228" s="10" t="e">
        <f t="shared" si="245"/>
        <v>#REF!</v>
      </c>
      <c r="K228" s="14" t="e">
        <f t="shared" si="254"/>
        <v>#REF!</v>
      </c>
      <c r="L228" s="10" t="e">
        <f>'FY 2013 by Agency'!L227*Inflator!#REF!</f>
        <v>#REF!</v>
      </c>
      <c r="M228" s="10" t="e">
        <f t="shared" si="246"/>
        <v>#REF!</v>
      </c>
      <c r="N228" s="14" t="e">
        <f t="shared" si="255"/>
        <v>#REF!</v>
      </c>
      <c r="O228" s="10" t="e">
        <f>'FY 2013 by Agency'!O227*Inflator!#REF!</f>
        <v>#REF!</v>
      </c>
      <c r="P228" s="69"/>
      <c r="Q228" s="60"/>
      <c r="R228" s="52" t="e">
        <f>'FY 2013 by Agency'!R227*Inflator!#REF!</f>
        <v>#REF!</v>
      </c>
      <c r="S228" s="52"/>
      <c r="T228" s="60"/>
      <c r="U228" s="52" t="e">
        <f>'FY 2013 by Agency'!U227*Inflator!#REF!</f>
        <v>#REF!</v>
      </c>
      <c r="V228" s="69"/>
      <c r="W228" s="60"/>
      <c r="X228" s="52" t="e">
        <f>'FY 2013 by Agency'!X227*Inflator!#REF!</f>
        <v>#REF!</v>
      </c>
      <c r="Y228" s="39"/>
      <c r="Z228" s="58"/>
      <c r="AA228" s="52" t="e">
        <f>'FY 2013 by Agency'!AA227*Inflator!#REF!</f>
        <v>#REF!</v>
      </c>
      <c r="AB228" s="39"/>
      <c r="AC228" s="65"/>
      <c r="AD228" s="52" t="e">
        <f>'FY 2013 by Agency'!AD227*Inflator!#REF!</f>
        <v>#REF!</v>
      </c>
      <c r="AE228" s="166"/>
      <c r="AF228" s="157"/>
      <c r="AG228" s="157"/>
      <c r="AH228" s="157"/>
      <c r="AI228" s="157"/>
      <c r="AM228" s="84"/>
      <c r="AN228" s="172">
        <f t="shared" ref="AN228:AN242" si="257">AI225-AE228</f>
        <v>0</v>
      </c>
      <c r="AO228" s="101"/>
      <c r="AP228" s="69"/>
      <c r="AQ228" s="69"/>
      <c r="AR228" s="69"/>
      <c r="AS228" s="52"/>
      <c r="AT228" s="52">
        <f t="shared" ref="AT228:AT242" si="258">AM228/1000</f>
        <v>0</v>
      </c>
      <c r="AU228" s="40"/>
      <c r="AV228" s="101"/>
      <c r="AW228" s="155"/>
      <c r="BD228" s="304"/>
      <c r="BE228" s="304"/>
      <c r="BI228" s="80"/>
      <c r="BK228" s="317"/>
      <c r="BL228" s="569">
        <f>'FY 2013 by Agency'!AS228*Inflator!$E$13</f>
        <v>0</v>
      </c>
      <c r="BM228" s="69">
        <f>'FY 2013 by Agency'!AT228*Inflator!$E$13</f>
        <v>0</v>
      </c>
      <c r="BN228" s="388" t="e">
        <f t="shared" ref="BN228:BN244" si="259">BM228/AF228</f>
        <v>#DIV/0!</v>
      </c>
      <c r="BP228" s="52">
        <f t="shared" si="247"/>
        <v>0</v>
      </c>
      <c r="BQ228" s="50" t="e">
        <f t="shared" si="248"/>
        <v>#DIV/0!</v>
      </c>
      <c r="BR228" s="52">
        <f>'FY 2013 by Agency'!BE227*Inflator!$E$14</f>
        <v>0</v>
      </c>
      <c r="BS228" s="52">
        <f t="shared" si="249"/>
        <v>0</v>
      </c>
      <c r="BT228" s="50" t="e">
        <f t="shared" si="250"/>
        <v>#DIV/0!</v>
      </c>
      <c r="BU228" s="69">
        <f>'FY 2013 by Agency'!BL228*Inflator!$E$14</f>
        <v>0</v>
      </c>
      <c r="BV228" s="69">
        <f>'FY 2013 by Agency'!BM228*Inflator!$E$14</f>
        <v>0</v>
      </c>
      <c r="BW228" s="39"/>
      <c r="BY228" s="534"/>
      <c r="BZ228" s="39">
        <f t="shared" si="241"/>
        <v>0</v>
      </c>
      <c r="CA228" s="51" t="e">
        <f t="shared" si="242"/>
        <v>#DIV/0!</v>
      </c>
      <c r="CC228" s="39">
        <f t="shared" ref="CC228:CC242" si="260">BW228-BR228</f>
        <v>0</v>
      </c>
    </row>
    <row r="229" spans="1:81" s="63" customFormat="1" ht="18" hidden="1" customHeight="1">
      <c r="A229" s="53"/>
      <c r="B229" s="322" t="e">
        <f>'FY 2013 by Agency'!B228*Inflator!#REF!</f>
        <v>#REF!</v>
      </c>
      <c r="C229" s="322" t="e">
        <f>'FY 2013 by Agency'!C228*Inflator!#REF!</f>
        <v>#REF!</v>
      </c>
      <c r="D229" s="322" t="e">
        <f t="shared" si="243"/>
        <v>#REF!</v>
      </c>
      <c r="E229" s="351" t="e">
        <f t="shared" si="252"/>
        <v>#REF!</v>
      </c>
      <c r="F229" s="10" t="e">
        <f>'FY 2013 by Agency'!F228*Inflator!#REF!</f>
        <v>#REF!</v>
      </c>
      <c r="G229" s="10" t="e">
        <f t="shared" si="244"/>
        <v>#REF!</v>
      </c>
      <c r="H229" s="14" t="e">
        <f t="shared" si="253"/>
        <v>#REF!</v>
      </c>
      <c r="I229" s="10" t="e">
        <f>'FY 2013 by Agency'!I228*Inflator!#REF!</f>
        <v>#REF!</v>
      </c>
      <c r="J229" s="10" t="e">
        <f t="shared" si="245"/>
        <v>#REF!</v>
      </c>
      <c r="K229" s="14" t="e">
        <f t="shared" si="254"/>
        <v>#REF!</v>
      </c>
      <c r="L229" s="10" t="e">
        <f>'FY 2013 by Agency'!L228*Inflator!#REF!</f>
        <v>#REF!</v>
      </c>
      <c r="M229" s="10" t="e">
        <f t="shared" si="246"/>
        <v>#REF!</v>
      </c>
      <c r="N229" s="14" t="e">
        <f t="shared" si="255"/>
        <v>#REF!</v>
      </c>
      <c r="O229" s="10" t="e">
        <f>'FY 2013 by Agency'!O228*Inflator!#REF!</f>
        <v>#REF!</v>
      </c>
      <c r="P229" s="69"/>
      <c r="Q229" s="60"/>
      <c r="R229" s="52" t="e">
        <f>'FY 2013 by Agency'!R228*Inflator!#REF!</f>
        <v>#REF!</v>
      </c>
      <c r="S229" s="52"/>
      <c r="T229" s="60"/>
      <c r="U229" s="52" t="e">
        <f>'FY 2013 by Agency'!U228*Inflator!#REF!</f>
        <v>#REF!</v>
      </c>
      <c r="V229" s="69"/>
      <c r="W229" s="60"/>
      <c r="X229" s="52" t="e">
        <f>'FY 2013 by Agency'!X228*Inflator!#REF!</f>
        <v>#REF!</v>
      </c>
      <c r="Y229" s="39"/>
      <c r="Z229" s="58"/>
      <c r="AA229" s="52" t="e">
        <f>'FY 2013 by Agency'!AA228*Inflator!#REF!</f>
        <v>#REF!</v>
      </c>
      <c r="AB229" s="39"/>
      <c r="AC229" s="65"/>
      <c r="AD229" s="52" t="e">
        <f>'FY 2013 by Agency'!AD228*Inflator!#REF!</f>
        <v>#REF!</v>
      </c>
      <c r="AE229" s="166"/>
      <c r="AF229" s="157"/>
      <c r="AG229" s="157"/>
      <c r="AH229" s="157"/>
      <c r="AI229" s="157"/>
      <c r="AJ229" s="88">
        <v>0</v>
      </c>
      <c r="AK229" s="88">
        <v>0</v>
      </c>
      <c r="AL229" s="88">
        <v>0</v>
      </c>
      <c r="AM229" s="86">
        <v>0</v>
      </c>
      <c r="AN229" s="172">
        <f t="shared" si="257"/>
        <v>0</v>
      </c>
      <c r="AO229" s="101"/>
      <c r="AP229" s="160">
        <v>0</v>
      </c>
      <c r="AQ229" s="160">
        <v>0</v>
      </c>
      <c r="AR229" s="160">
        <v>0</v>
      </c>
      <c r="AS229" s="164">
        <v>0</v>
      </c>
      <c r="AT229" s="52">
        <f t="shared" si="258"/>
        <v>0</v>
      </c>
      <c r="AU229" s="40"/>
      <c r="AV229" s="101"/>
      <c r="AW229" s="155">
        <v>393623</v>
      </c>
      <c r="BD229" s="304"/>
      <c r="BE229" s="304"/>
      <c r="BI229" s="80"/>
      <c r="BK229" s="317"/>
      <c r="BL229" s="569">
        <f>'FY 2013 by Agency'!AS229*Inflator!$E$13</f>
        <v>0</v>
      </c>
      <c r="BM229" s="69">
        <f>'FY 2013 by Agency'!AT229*Inflator!$E$13</f>
        <v>0</v>
      </c>
      <c r="BN229" s="388" t="e">
        <f t="shared" si="259"/>
        <v>#DIV/0!</v>
      </c>
      <c r="BP229" s="52">
        <f t="shared" si="247"/>
        <v>0</v>
      </c>
      <c r="BQ229" s="50" t="e">
        <f t="shared" si="248"/>
        <v>#DIV/0!</v>
      </c>
      <c r="BR229" s="52">
        <f>'FY 2013 by Agency'!BE228*Inflator!$E$14</f>
        <v>0</v>
      </c>
      <c r="BS229" s="52">
        <f t="shared" si="249"/>
        <v>0</v>
      </c>
      <c r="BT229" s="50" t="e">
        <f t="shared" si="250"/>
        <v>#DIV/0!</v>
      </c>
      <c r="BU229" s="69">
        <f>'FY 2013 by Agency'!BL229*Inflator!$E$14</f>
        <v>0</v>
      </c>
      <c r="BV229" s="69">
        <f>'FY 2013 by Agency'!BM229*Inflator!$E$14</f>
        <v>0</v>
      </c>
      <c r="BW229" s="39"/>
      <c r="BY229" s="534"/>
      <c r="BZ229" s="39">
        <f t="shared" si="241"/>
        <v>0</v>
      </c>
      <c r="CA229" s="51" t="e">
        <f t="shared" si="242"/>
        <v>#DIV/0!</v>
      </c>
      <c r="CC229" s="39">
        <f t="shared" si="260"/>
        <v>0</v>
      </c>
    </row>
    <row r="230" spans="1:81" s="63" customFormat="1" ht="18" hidden="1" customHeight="1">
      <c r="A230" s="53"/>
      <c r="B230" s="322" t="e">
        <f>'FY 2013 by Agency'!B229*Inflator!#REF!</f>
        <v>#REF!</v>
      </c>
      <c r="C230" s="322" t="e">
        <f>'FY 2013 by Agency'!C229*Inflator!#REF!</f>
        <v>#REF!</v>
      </c>
      <c r="D230" s="322" t="e">
        <f t="shared" si="243"/>
        <v>#REF!</v>
      </c>
      <c r="E230" s="351" t="e">
        <f t="shared" si="252"/>
        <v>#REF!</v>
      </c>
      <c r="F230" s="10" t="e">
        <f>'FY 2013 by Agency'!F229*Inflator!#REF!</f>
        <v>#REF!</v>
      </c>
      <c r="G230" s="10" t="e">
        <f t="shared" si="244"/>
        <v>#REF!</v>
      </c>
      <c r="H230" s="14" t="e">
        <f t="shared" si="253"/>
        <v>#REF!</v>
      </c>
      <c r="I230" s="10" t="e">
        <f>'FY 2013 by Agency'!I229*Inflator!#REF!</f>
        <v>#REF!</v>
      </c>
      <c r="J230" s="10" t="e">
        <f t="shared" si="245"/>
        <v>#REF!</v>
      </c>
      <c r="K230" s="14" t="e">
        <f t="shared" si="254"/>
        <v>#REF!</v>
      </c>
      <c r="L230" s="10" t="e">
        <f>'FY 2013 by Agency'!L229*Inflator!#REF!</f>
        <v>#REF!</v>
      </c>
      <c r="M230" s="10" t="e">
        <f t="shared" si="246"/>
        <v>#REF!</v>
      </c>
      <c r="N230" s="14" t="e">
        <f t="shared" si="255"/>
        <v>#REF!</v>
      </c>
      <c r="O230" s="10" t="e">
        <f>'FY 2013 by Agency'!O229*Inflator!#REF!</f>
        <v>#REF!</v>
      </c>
      <c r="P230" s="69"/>
      <c r="Q230" s="60"/>
      <c r="R230" s="52" t="e">
        <f>'FY 2013 by Agency'!R229*Inflator!#REF!</f>
        <v>#REF!</v>
      </c>
      <c r="S230" s="52"/>
      <c r="T230" s="60"/>
      <c r="U230" s="52" t="e">
        <f>'FY 2013 by Agency'!U229*Inflator!#REF!</f>
        <v>#REF!</v>
      </c>
      <c r="V230" s="69"/>
      <c r="W230" s="60"/>
      <c r="X230" s="52" t="e">
        <f>'FY 2013 by Agency'!X229*Inflator!#REF!</f>
        <v>#REF!</v>
      </c>
      <c r="Y230" s="39"/>
      <c r="Z230" s="58"/>
      <c r="AA230" s="52" t="e">
        <f>'FY 2013 by Agency'!AA229*Inflator!#REF!</f>
        <v>#REF!</v>
      </c>
      <c r="AB230" s="39"/>
      <c r="AC230" s="65"/>
      <c r="AD230" s="52" t="e">
        <f>'FY 2013 by Agency'!AD229*Inflator!#REF!</f>
        <v>#REF!</v>
      </c>
      <c r="AE230" s="166"/>
      <c r="AF230" s="157"/>
      <c r="AG230" s="157"/>
      <c r="AH230" s="157"/>
      <c r="AI230" s="157"/>
      <c r="AJ230" s="88">
        <v>0</v>
      </c>
      <c r="AK230" s="88">
        <v>0</v>
      </c>
      <c r="AL230" s="88">
        <v>0</v>
      </c>
      <c r="AM230" s="86">
        <f t="shared" ref="AM230:AM240" si="261">SUM(AJ230:AL230)</f>
        <v>0</v>
      </c>
      <c r="AN230" s="172">
        <f t="shared" si="257"/>
        <v>0</v>
      </c>
      <c r="AO230" s="101"/>
      <c r="AP230" s="167">
        <v>0</v>
      </c>
      <c r="AQ230" s="167">
        <v>0</v>
      </c>
      <c r="AR230" s="167">
        <v>0</v>
      </c>
      <c r="AS230" s="164">
        <f t="shared" ref="AS230:AS240" si="262">SUM(AP230:AR230)</f>
        <v>0</v>
      </c>
      <c r="AT230" s="52">
        <f t="shared" si="258"/>
        <v>0</v>
      </c>
      <c r="AU230" s="40"/>
      <c r="AV230" s="101"/>
      <c r="AW230" s="155">
        <v>54356</v>
      </c>
      <c r="BD230" s="304"/>
      <c r="BE230" s="304"/>
      <c r="BI230" s="80"/>
      <c r="BK230" s="317"/>
      <c r="BL230" s="569">
        <f>'FY 2013 by Agency'!AS230*Inflator!$E$13</f>
        <v>0</v>
      </c>
      <c r="BM230" s="69">
        <f>'FY 2013 by Agency'!AT230*Inflator!$E$13</f>
        <v>0</v>
      </c>
      <c r="BN230" s="388" t="e">
        <f t="shared" si="259"/>
        <v>#DIV/0!</v>
      </c>
      <c r="BP230" s="52">
        <f t="shared" si="247"/>
        <v>0</v>
      </c>
      <c r="BQ230" s="50" t="e">
        <f t="shared" si="248"/>
        <v>#DIV/0!</v>
      </c>
      <c r="BR230" s="52">
        <f>'FY 2013 by Agency'!BE229*Inflator!$E$14</f>
        <v>0</v>
      </c>
      <c r="BS230" s="52">
        <f t="shared" si="249"/>
        <v>0</v>
      </c>
      <c r="BT230" s="50" t="e">
        <f t="shared" si="250"/>
        <v>#DIV/0!</v>
      </c>
      <c r="BU230" s="69">
        <f>'FY 2013 by Agency'!BL230*Inflator!$E$14</f>
        <v>0</v>
      </c>
      <c r="BV230" s="69">
        <f>'FY 2013 by Agency'!BM230*Inflator!$E$14</f>
        <v>0</v>
      </c>
      <c r="BW230" s="39"/>
      <c r="BY230" s="534"/>
      <c r="BZ230" s="39">
        <f t="shared" si="241"/>
        <v>0</v>
      </c>
      <c r="CA230" s="51" t="e">
        <f t="shared" si="242"/>
        <v>#DIV/0!</v>
      </c>
      <c r="CC230" s="39">
        <f t="shared" si="260"/>
        <v>0</v>
      </c>
    </row>
    <row r="231" spans="1:81" s="63" customFormat="1" ht="18" hidden="1" customHeight="1">
      <c r="A231" s="53"/>
      <c r="B231" s="322" t="e">
        <f>'FY 2013 by Agency'!B230*Inflator!#REF!</f>
        <v>#REF!</v>
      </c>
      <c r="C231" s="322" t="e">
        <f>'FY 2013 by Agency'!C230*Inflator!#REF!</f>
        <v>#REF!</v>
      </c>
      <c r="D231" s="322" t="e">
        <f t="shared" si="243"/>
        <v>#REF!</v>
      </c>
      <c r="E231" s="351" t="e">
        <f t="shared" si="252"/>
        <v>#REF!</v>
      </c>
      <c r="F231" s="10" t="e">
        <f>'FY 2013 by Agency'!F230*Inflator!#REF!</f>
        <v>#REF!</v>
      </c>
      <c r="G231" s="10" t="e">
        <f t="shared" si="244"/>
        <v>#REF!</v>
      </c>
      <c r="H231" s="14" t="e">
        <f t="shared" si="253"/>
        <v>#REF!</v>
      </c>
      <c r="I231" s="10" t="e">
        <f>'FY 2013 by Agency'!I230*Inflator!#REF!</f>
        <v>#REF!</v>
      </c>
      <c r="J231" s="10" t="e">
        <f t="shared" si="245"/>
        <v>#REF!</v>
      </c>
      <c r="K231" s="14" t="e">
        <f t="shared" si="254"/>
        <v>#REF!</v>
      </c>
      <c r="L231" s="10" t="e">
        <f>'FY 2013 by Agency'!L230*Inflator!#REF!</f>
        <v>#REF!</v>
      </c>
      <c r="M231" s="10" t="e">
        <f t="shared" si="246"/>
        <v>#REF!</v>
      </c>
      <c r="N231" s="14" t="e">
        <f t="shared" si="255"/>
        <v>#REF!</v>
      </c>
      <c r="O231" s="10" t="e">
        <f>'FY 2013 by Agency'!O230*Inflator!#REF!</f>
        <v>#REF!</v>
      </c>
      <c r="P231" s="69"/>
      <c r="Q231" s="60"/>
      <c r="R231" s="52" t="e">
        <f>'FY 2013 by Agency'!R230*Inflator!#REF!</f>
        <v>#REF!</v>
      </c>
      <c r="S231" s="52"/>
      <c r="T231" s="60"/>
      <c r="U231" s="52" t="e">
        <f>'FY 2013 by Agency'!U230*Inflator!#REF!</f>
        <v>#REF!</v>
      </c>
      <c r="V231" s="69"/>
      <c r="W231" s="60"/>
      <c r="X231" s="52" t="e">
        <f>'FY 2013 by Agency'!X230*Inflator!#REF!</f>
        <v>#REF!</v>
      </c>
      <c r="Y231" s="39"/>
      <c r="Z231" s="58"/>
      <c r="AA231" s="52" t="e">
        <f>'FY 2013 by Agency'!AA230*Inflator!#REF!</f>
        <v>#REF!</v>
      </c>
      <c r="AB231" s="39"/>
      <c r="AC231" s="65"/>
      <c r="AD231" s="52" t="e">
        <f>'FY 2013 by Agency'!AD230*Inflator!#REF!</f>
        <v>#REF!</v>
      </c>
      <c r="AE231" s="166"/>
      <c r="AF231" s="157"/>
      <c r="AG231" s="157"/>
      <c r="AH231" s="157"/>
      <c r="AI231" s="157"/>
      <c r="AJ231" s="88"/>
      <c r="AK231" s="88"/>
      <c r="AL231" s="89">
        <v>265000000</v>
      </c>
      <c r="AM231" s="86">
        <f t="shared" si="261"/>
        <v>265000000</v>
      </c>
      <c r="AN231" s="172">
        <f t="shared" si="257"/>
        <v>0</v>
      </c>
      <c r="AO231" s="101"/>
      <c r="AP231" s="160"/>
      <c r="AQ231" s="160"/>
      <c r="AR231" s="160">
        <v>250000000</v>
      </c>
      <c r="AS231" s="164">
        <f t="shared" si="262"/>
        <v>250000000</v>
      </c>
      <c r="AT231" s="52">
        <f t="shared" si="258"/>
        <v>265000</v>
      </c>
      <c r="AU231" s="40"/>
      <c r="AV231" s="101"/>
      <c r="AW231" s="155">
        <v>250000</v>
      </c>
      <c r="BD231" s="304"/>
      <c r="BE231" s="304"/>
      <c r="BI231" s="80"/>
      <c r="BK231" s="317"/>
      <c r="BL231" s="569">
        <f>'FY 2013 by Agency'!AS231*Inflator!$E$13</f>
        <v>0</v>
      </c>
      <c r="BM231" s="69">
        <f>'FY 2013 by Agency'!AT231*Inflator!$E$13</f>
        <v>0</v>
      </c>
      <c r="BN231" s="388" t="e">
        <f t="shared" si="259"/>
        <v>#DIV/0!</v>
      </c>
      <c r="BP231" s="52">
        <f t="shared" si="247"/>
        <v>0</v>
      </c>
      <c r="BQ231" s="50" t="e">
        <f t="shared" si="248"/>
        <v>#DIV/0!</v>
      </c>
      <c r="BR231" s="52">
        <f>'FY 2013 by Agency'!BE230*Inflator!$E$14</f>
        <v>0</v>
      </c>
      <c r="BS231" s="52">
        <f t="shared" si="249"/>
        <v>0</v>
      </c>
      <c r="BT231" s="50" t="e">
        <f t="shared" si="250"/>
        <v>#DIV/0!</v>
      </c>
      <c r="BU231" s="69">
        <f>'FY 2013 by Agency'!BL231*Inflator!$E$14</f>
        <v>0</v>
      </c>
      <c r="BV231" s="69">
        <f>'FY 2013 by Agency'!BM231*Inflator!$E$14</f>
        <v>0</v>
      </c>
      <c r="BW231" s="39"/>
      <c r="BY231" s="534"/>
      <c r="BZ231" s="39">
        <f t="shared" si="241"/>
        <v>0</v>
      </c>
      <c r="CA231" s="51" t="e">
        <f t="shared" si="242"/>
        <v>#DIV/0!</v>
      </c>
      <c r="CC231" s="39">
        <f t="shared" si="260"/>
        <v>0</v>
      </c>
    </row>
    <row r="232" spans="1:81" s="63" customFormat="1" ht="18" hidden="1" customHeight="1">
      <c r="A232" s="53"/>
      <c r="B232" s="322" t="e">
        <f>'FY 2013 by Agency'!B231*Inflator!#REF!</f>
        <v>#REF!</v>
      </c>
      <c r="C232" s="322" t="e">
        <f>'FY 2013 by Agency'!C231*Inflator!#REF!</f>
        <v>#REF!</v>
      </c>
      <c r="D232" s="322" t="e">
        <f t="shared" si="243"/>
        <v>#REF!</v>
      </c>
      <c r="E232" s="351" t="e">
        <f t="shared" si="252"/>
        <v>#REF!</v>
      </c>
      <c r="F232" s="10" t="e">
        <f>'FY 2013 by Agency'!F231*Inflator!#REF!</f>
        <v>#REF!</v>
      </c>
      <c r="G232" s="10" t="e">
        <f t="shared" si="244"/>
        <v>#REF!</v>
      </c>
      <c r="H232" s="14" t="e">
        <f t="shared" si="253"/>
        <v>#REF!</v>
      </c>
      <c r="I232" s="10" t="e">
        <f>'FY 2013 by Agency'!I231*Inflator!#REF!</f>
        <v>#REF!</v>
      </c>
      <c r="J232" s="10" t="e">
        <f t="shared" si="245"/>
        <v>#REF!</v>
      </c>
      <c r="K232" s="14" t="e">
        <f t="shared" si="254"/>
        <v>#REF!</v>
      </c>
      <c r="L232" s="10" t="e">
        <f>'FY 2013 by Agency'!L231*Inflator!#REF!</f>
        <v>#REF!</v>
      </c>
      <c r="M232" s="10" t="e">
        <f t="shared" si="246"/>
        <v>#REF!</v>
      </c>
      <c r="N232" s="14" t="e">
        <f t="shared" si="255"/>
        <v>#REF!</v>
      </c>
      <c r="O232" s="10" t="e">
        <f>'FY 2013 by Agency'!O231*Inflator!#REF!</f>
        <v>#REF!</v>
      </c>
      <c r="P232" s="69"/>
      <c r="Q232" s="60"/>
      <c r="R232" s="52" t="e">
        <f>'FY 2013 by Agency'!R231*Inflator!#REF!</f>
        <v>#REF!</v>
      </c>
      <c r="S232" s="52"/>
      <c r="T232" s="60"/>
      <c r="U232" s="52" t="e">
        <f>'FY 2013 by Agency'!U231*Inflator!#REF!</f>
        <v>#REF!</v>
      </c>
      <c r="V232" s="69"/>
      <c r="W232" s="60"/>
      <c r="X232" s="52" t="e">
        <f>'FY 2013 by Agency'!X231*Inflator!#REF!</f>
        <v>#REF!</v>
      </c>
      <c r="Y232" s="39"/>
      <c r="Z232" s="58"/>
      <c r="AA232" s="52" t="e">
        <f>'FY 2013 by Agency'!AA231*Inflator!#REF!</f>
        <v>#REF!</v>
      </c>
      <c r="AB232" s="39"/>
      <c r="AC232" s="65"/>
      <c r="AD232" s="52" t="e">
        <f>'FY 2013 by Agency'!AD231*Inflator!#REF!</f>
        <v>#REF!</v>
      </c>
      <c r="AE232" s="166"/>
      <c r="AF232" s="157"/>
      <c r="AG232" s="157"/>
      <c r="AH232" s="157"/>
      <c r="AI232" s="157"/>
      <c r="AJ232" s="88"/>
      <c r="AK232" s="88"/>
      <c r="AL232" s="89">
        <v>7603350</v>
      </c>
      <c r="AM232" s="86">
        <f t="shared" si="261"/>
        <v>7603350</v>
      </c>
      <c r="AN232" s="172">
        <f t="shared" si="257"/>
        <v>0</v>
      </c>
      <c r="AO232" s="101"/>
      <c r="AP232" s="160"/>
      <c r="AQ232" s="160"/>
      <c r="AR232" s="160">
        <v>8747725</v>
      </c>
      <c r="AS232" s="164">
        <f t="shared" si="262"/>
        <v>8747725</v>
      </c>
      <c r="AT232" s="52">
        <f t="shared" si="258"/>
        <v>7603.35</v>
      </c>
      <c r="AU232" s="40"/>
      <c r="AV232" s="101"/>
      <c r="AW232" s="155">
        <v>0</v>
      </c>
      <c r="BD232" s="304"/>
      <c r="BE232" s="304"/>
      <c r="BI232" s="80"/>
      <c r="BK232" s="317"/>
      <c r="BL232" s="569">
        <f>'FY 2013 by Agency'!AS232*Inflator!$E$13</f>
        <v>0</v>
      </c>
      <c r="BM232" s="69">
        <f>'FY 2013 by Agency'!AT232*Inflator!$E$13</f>
        <v>0</v>
      </c>
      <c r="BN232" s="388" t="e">
        <f t="shared" si="259"/>
        <v>#DIV/0!</v>
      </c>
      <c r="BP232" s="52">
        <f t="shared" si="247"/>
        <v>0</v>
      </c>
      <c r="BQ232" s="50" t="e">
        <f t="shared" si="248"/>
        <v>#DIV/0!</v>
      </c>
      <c r="BR232" s="52">
        <f>'FY 2013 by Agency'!BE231*Inflator!$E$14</f>
        <v>0</v>
      </c>
      <c r="BS232" s="52">
        <f t="shared" si="249"/>
        <v>0</v>
      </c>
      <c r="BT232" s="50" t="e">
        <f t="shared" si="250"/>
        <v>#DIV/0!</v>
      </c>
      <c r="BU232" s="69">
        <f>'FY 2013 by Agency'!BL232*Inflator!$E$14</f>
        <v>0</v>
      </c>
      <c r="BV232" s="69">
        <f>'FY 2013 by Agency'!BM232*Inflator!$E$14</f>
        <v>0</v>
      </c>
      <c r="BW232" s="39"/>
      <c r="BY232" s="534"/>
      <c r="BZ232" s="39">
        <f t="shared" si="241"/>
        <v>0</v>
      </c>
      <c r="CA232" s="51" t="e">
        <f t="shared" si="242"/>
        <v>#DIV/0!</v>
      </c>
      <c r="CC232" s="39">
        <f t="shared" si="260"/>
        <v>0</v>
      </c>
    </row>
    <row r="233" spans="1:81" s="63" customFormat="1" ht="18" hidden="1" customHeight="1">
      <c r="A233" s="53"/>
      <c r="B233" s="322" t="e">
        <f>'FY 2013 by Agency'!B232*Inflator!#REF!</f>
        <v>#REF!</v>
      </c>
      <c r="C233" s="322" t="e">
        <f>'FY 2013 by Agency'!C232*Inflator!#REF!</f>
        <v>#REF!</v>
      </c>
      <c r="D233" s="322" t="e">
        <f t="shared" si="243"/>
        <v>#REF!</v>
      </c>
      <c r="E233" s="351" t="e">
        <f t="shared" si="252"/>
        <v>#REF!</v>
      </c>
      <c r="F233" s="10" t="e">
        <f>'FY 2013 by Agency'!F232*Inflator!#REF!</f>
        <v>#REF!</v>
      </c>
      <c r="G233" s="10" t="e">
        <f t="shared" si="244"/>
        <v>#REF!</v>
      </c>
      <c r="H233" s="14" t="e">
        <f t="shared" si="253"/>
        <v>#REF!</v>
      </c>
      <c r="I233" s="10" t="e">
        <f>'FY 2013 by Agency'!I232*Inflator!#REF!</f>
        <v>#REF!</v>
      </c>
      <c r="J233" s="10" t="e">
        <f t="shared" si="245"/>
        <v>#REF!</v>
      </c>
      <c r="K233" s="14" t="e">
        <f t="shared" si="254"/>
        <v>#REF!</v>
      </c>
      <c r="L233" s="10" t="e">
        <f>'FY 2013 by Agency'!L232*Inflator!#REF!</f>
        <v>#REF!</v>
      </c>
      <c r="M233" s="10" t="e">
        <f t="shared" si="246"/>
        <v>#REF!</v>
      </c>
      <c r="N233" s="14" t="e">
        <f t="shared" si="255"/>
        <v>#REF!</v>
      </c>
      <c r="O233" s="10" t="e">
        <f>'FY 2013 by Agency'!O232*Inflator!#REF!</f>
        <v>#REF!</v>
      </c>
      <c r="P233" s="69"/>
      <c r="Q233" s="60"/>
      <c r="R233" s="52" t="e">
        <f>'FY 2013 by Agency'!R232*Inflator!#REF!</f>
        <v>#REF!</v>
      </c>
      <c r="S233" s="52"/>
      <c r="T233" s="60"/>
      <c r="U233" s="52" t="e">
        <f>'FY 2013 by Agency'!U232*Inflator!#REF!</f>
        <v>#REF!</v>
      </c>
      <c r="V233" s="69"/>
      <c r="W233" s="60"/>
      <c r="X233" s="52" t="e">
        <f>'FY 2013 by Agency'!X232*Inflator!#REF!</f>
        <v>#REF!</v>
      </c>
      <c r="Y233" s="39"/>
      <c r="Z233" s="58"/>
      <c r="AA233" s="52" t="e">
        <f>'FY 2013 by Agency'!AA232*Inflator!#REF!</f>
        <v>#REF!</v>
      </c>
      <c r="AB233" s="39"/>
      <c r="AC233" s="65"/>
      <c r="AD233" s="52" t="e">
        <f>'FY 2013 by Agency'!AD232*Inflator!#REF!</f>
        <v>#REF!</v>
      </c>
      <c r="AE233" s="166"/>
      <c r="AF233" s="157"/>
      <c r="AG233" s="157"/>
      <c r="AH233" s="157"/>
      <c r="AI233" s="157"/>
      <c r="AJ233" s="88">
        <v>0</v>
      </c>
      <c r="AK233" s="88">
        <v>0</v>
      </c>
      <c r="AL233" s="87">
        <v>0</v>
      </c>
      <c r="AM233" s="86">
        <f t="shared" si="261"/>
        <v>0</v>
      </c>
      <c r="AN233" s="172">
        <f t="shared" si="257"/>
        <v>0</v>
      </c>
      <c r="AO233" s="101"/>
      <c r="AP233" s="167">
        <v>0</v>
      </c>
      <c r="AQ233" s="167">
        <v>0</v>
      </c>
      <c r="AR233" s="167">
        <v>0</v>
      </c>
      <c r="AS233" s="164">
        <f t="shared" si="262"/>
        <v>0</v>
      </c>
      <c r="AT233" s="52">
        <f t="shared" si="258"/>
        <v>0</v>
      </c>
      <c r="AU233" s="40"/>
      <c r="AV233" s="101"/>
      <c r="AW233" s="155">
        <v>30622</v>
      </c>
      <c r="BD233" s="304"/>
      <c r="BE233" s="304"/>
      <c r="BI233" s="80"/>
      <c r="BK233" s="317"/>
      <c r="BL233" s="569">
        <f>'FY 2013 by Agency'!AS233*Inflator!$E$13</f>
        <v>0</v>
      </c>
      <c r="BM233" s="69">
        <f>'FY 2013 by Agency'!AT233*Inflator!$E$13</f>
        <v>0</v>
      </c>
      <c r="BN233" s="388" t="e">
        <f t="shared" si="259"/>
        <v>#DIV/0!</v>
      </c>
      <c r="BP233" s="52">
        <f t="shared" si="247"/>
        <v>0</v>
      </c>
      <c r="BQ233" s="50" t="e">
        <f t="shared" si="248"/>
        <v>#DIV/0!</v>
      </c>
      <c r="BR233" s="52">
        <f>'FY 2013 by Agency'!BE232*Inflator!$E$14</f>
        <v>0</v>
      </c>
      <c r="BS233" s="52">
        <f t="shared" si="249"/>
        <v>0</v>
      </c>
      <c r="BT233" s="50" t="e">
        <f t="shared" si="250"/>
        <v>#DIV/0!</v>
      </c>
      <c r="BU233" s="69">
        <f>'FY 2013 by Agency'!BL233*Inflator!$E$14</f>
        <v>0</v>
      </c>
      <c r="BV233" s="69">
        <f>'FY 2013 by Agency'!BM233*Inflator!$E$14</f>
        <v>0</v>
      </c>
      <c r="BW233" s="39"/>
      <c r="BY233" s="534"/>
      <c r="BZ233" s="39">
        <f t="shared" si="241"/>
        <v>0</v>
      </c>
      <c r="CA233" s="51" t="e">
        <f t="shared" si="242"/>
        <v>#DIV/0!</v>
      </c>
      <c r="CC233" s="39">
        <f t="shared" si="260"/>
        <v>0</v>
      </c>
    </row>
    <row r="234" spans="1:81" s="63" customFormat="1" ht="18" hidden="1" customHeight="1">
      <c r="A234" s="53"/>
      <c r="B234" s="322" t="e">
        <f>'FY 2013 by Agency'!B233*Inflator!#REF!</f>
        <v>#REF!</v>
      </c>
      <c r="C234" s="322" t="e">
        <f>'FY 2013 by Agency'!C233*Inflator!#REF!</f>
        <v>#REF!</v>
      </c>
      <c r="D234" s="322" t="e">
        <f t="shared" si="243"/>
        <v>#REF!</v>
      </c>
      <c r="E234" s="351" t="e">
        <f t="shared" si="252"/>
        <v>#REF!</v>
      </c>
      <c r="F234" s="10" t="e">
        <f>'FY 2013 by Agency'!F233*Inflator!#REF!</f>
        <v>#REF!</v>
      </c>
      <c r="G234" s="10" t="e">
        <f t="shared" si="244"/>
        <v>#REF!</v>
      </c>
      <c r="H234" s="14" t="e">
        <f t="shared" si="253"/>
        <v>#REF!</v>
      </c>
      <c r="I234" s="10" t="e">
        <f>'FY 2013 by Agency'!I233*Inflator!#REF!</f>
        <v>#REF!</v>
      </c>
      <c r="J234" s="10" t="e">
        <f t="shared" si="245"/>
        <v>#REF!</v>
      </c>
      <c r="K234" s="14" t="e">
        <f t="shared" si="254"/>
        <v>#REF!</v>
      </c>
      <c r="L234" s="10" t="e">
        <f>'FY 2013 by Agency'!L233*Inflator!#REF!</f>
        <v>#REF!</v>
      </c>
      <c r="M234" s="10" t="e">
        <f t="shared" si="246"/>
        <v>#REF!</v>
      </c>
      <c r="N234" s="14" t="e">
        <f t="shared" si="255"/>
        <v>#REF!</v>
      </c>
      <c r="O234" s="10" t="e">
        <f>'FY 2013 by Agency'!O233*Inflator!#REF!</f>
        <v>#REF!</v>
      </c>
      <c r="P234" s="69"/>
      <c r="Q234" s="60"/>
      <c r="R234" s="52" t="e">
        <f>'FY 2013 by Agency'!R233*Inflator!#REF!</f>
        <v>#REF!</v>
      </c>
      <c r="S234" s="52"/>
      <c r="T234" s="60"/>
      <c r="U234" s="52" t="e">
        <f>'FY 2013 by Agency'!U233*Inflator!#REF!</f>
        <v>#REF!</v>
      </c>
      <c r="V234" s="69"/>
      <c r="W234" s="60"/>
      <c r="X234" s="52" t="e">
        <f>'FY 2013 by Agency'!X233*Inflator!#REF!</f>
        <v>#REF!</v>
      </c>
      <c r="Y234" s="39"/>
      <c r="Z234" s="58"/>
      <c r="AA234" s="52" t="e">
        <f>'FY 2013 by Agency'!AA233*Inflator!#REF!</f>
        <v>#REF!</v>
      </c>
      <c r="AB234" s="39"/>
      <c r="AC234" s="65"/>
      <c r="AD234" s="52" t="e">
        <f>'FY 2013 by Agency'!AD233*Inflator!#REF!</f>
        <v>#REF!</v>
      </c>
      <c r="AE234" s="166"/>
      <c r="AF234" s="157"/>
      <c r="AG234" s="157"/>
      <c r="AH234" s="157"/>
      <c r="AI234" s="157"/>
      <c r="AJ234" s="88" t="s">
        <v>149</v>
      </c>
      <c r="AK234" s="88"/>
      <c r="AL234" s="88"/>
      <c r="AM234" s="86"/>
      <c r="AN234" s="172">
        <f t="shared" si="257"/>
        <v>0</v>
      </c>
      <c r="AO234" s="101"/>
      <c r="AP234" s="160"/>
      <c r="AQ234" s="160"/>
      <c r="AR234" s="160"/>
      <c r="AS234" s="164"/>
      <c r="AT234" s="52">
        <f t="shared" si="258"/>
        <v>0</v>
      </c>
      <c r="AU234" s="40"/>
      <c r="AV234" s="101"/>
      <c r="AW234" s="155">
        <v>97059</v>
      </c>
      <c r="BD234" s="304"/>
      <c r="BE234" s="304"/>
      <c r="BI234" s="80"/>
      <c r="BK234" s="317"/>
      <c r="BL234" s="569">
        <f>'FY 2013 by Agency'!AS234*Inflator!$E$13</f>
        <v>0</v>
      </c>
      <c r="BM234" s="69">
        <f>'FY 2013 by Agency'!AT234*Inflator!$E$13</f>
        <v>0</v>
      </c>
      <c r="BN234" s="388" t="e">
        <f t="shared" si="259"/>
        <v>#DIV/0!</v>
      </c>
      <c r="BP234" s="52">
        <f t="shared" si="247"/>
        <v>0</v>
      </c>
      <c r="BQ234" s="50" t="e">
        <f t="shared" si="248"/>
        <v>#DIV/0!</v>
      </c>
      <c r="BR234" s="52">
        <f>'FY 2013 by Agency'!BE233*Inflator!$E$14</f>
        <v>0</v>
      </c>
      <c r="BS234" s="52">
        <f t="shared" si="249"/>
        <v>0</v>
      </c>
      <c r="BT234" s="50" t="e">
        <f t="shared" si="250"/>
        <v>#DIV/0!</v>
      </c>
      <c r="BU234" s="69">
        <f>'FY 2013 by Agency'!BL234*Inflator!$E$14</f>
        <v>0</v>
      </c>
      <c r="BV234" s="69">
        <f>'FY 2013 by Agency'!BM234*Inflator!$E$14</f>
        <v>0</v>
      </c>
      <c r="BW234" s="39"/>
      <c r="BY234" s="534"/>
      <c r="BZ234" s="39">
        <f t="shared" si="241"/>
        <v>0</v>
      </c>
      <c r="CA234" s="51" t="e">
        <f t="shared" si="242"/>
        <v>#DIV/0!</v>
      </c>
      <c r="CC234" s="39">
        <f t="shared" si="260"/>
        <v>0</v>
      </c>
    </row>
    <row r="235" spans="1:81" s="63" customFormat="1" ht="18" hidden="1" customHeight="1">
      <c r="A235" s="53"/>
      <c r="B235" s="322" t="e">
        <f>'FY 2013 by Agency'!B234*Inflator!#REF!</f>
        <v>#REF!</v>
      </c>
      <c r="C235" s="322" t="e">
        <f>'FY 2013 by Agency'!C234*Inflator!#REF!</f>
        <v>#REF!</v>
      </c>
      <c r="D235" s="322" t="e">
        <f t="shared" si="243"/>
        <v>#REF!</v>
      </c>
      <c r="E235" s="351" t="e">
        <f t="shared" si="252"/>
        <v>#REF!</v>
      </c>
      <c r="F235" s="10" t="e">
        <f>'FY 2013 by Agency'!F234*Inflator!#REF!</f>
        <v>#REF!</v>
      </c>
      <c r="G235" s="10" t="e">
        <f t="shared" si="244"/>
        <v>#REF!</v>
      </c>
      <c r="H235" s="14" t="e">
        <f t="shared" si="253"/>
        <v>#REF!</v>
      </c>
      <c r="I235" s="10" t="e">
        <f>'FY 2013 by Agency'!I234*Inflator!#REF!</f>
        <v>#REF!</v>
      </c>
      <c r="J235" s="10" t="e">
        <f t="shared" si="245"/>
        <v>#REF!</v>
      </c>
      <c r="K235" s="14" t="e">
        <f t="shared" si="254"/>
        <v>#REF!</v>
      </c>
      <c r="L235" s="10" t="e">
        <f>'FY 2013 by Agency'!L234*Inflator!#REF!</f>
        <v>#REF!</v>
      </c>
      <c r="M235" s="10" t="e">
        <f t="shared" si="246"/>
        <v>#REF!</v>
      </c>
      <c r="N235" s="14" t="e">
        <f t="shared" si="255"/>
        <v>#REF!</v>
      </c>
      <c r="O235" s="10" t="e">
        <f>'FY 2013 by Agency'!O234*Inflator!#REF!</f>
        <v>#REF!</v>
      </c>
      <c r="P235" s="69"/>
      <c r="Q235" s="60"/>
      <c r="R235" s="52" t="e">
        <f>'FY 2013 by Agency'!R234*Inflator!#REF!</f>
        <v>#REF!</v>
      </c>
      <c r="S235" s="52"/>
      <c r="T235" s="60"/>
      <c r="U235" s="52" t="e">
        <f>'FY 2013 by Agency'!U234*Inflator!#REF!</f>
        <v>#REF!</v>
      </c>
      <c r="V235" s="69"/>
      <c r="W235" s="60"/>
      <c r="X235" s="52" t="e">
        <f>'FY 2013 by Agency'!X234*Inflator!#REF!</f>
        <v>#REF!</v>
      </c>
      <c r="Y235" s="39"/>
      <c r="Z235" s="58"/>
      <c r="AA235" s="52" t="e">
        <f>'FY 2013 by Agency'!AA234*Inflator!#REF!</f>
        <v>#REF!</v>
      </c>
      <c r="AB235" s="39"/>
      <c r="AC235" s="65"/>
      <c r="AD235" s="52" t="e">
        <f>'FY 2013 by Agency'!AD234*Inflator!#REF!</f>
        <v>#REF!</v>
      </c>
      <c r="AE235" s="166"/>
      <c r="AF235" s="157"/>
      <c r="AG235" s="157"/>
      <c r="AH235" s="157"/>
      <c r="AI235" s="157"/>
      <c r="AJ235" s="88"/>
      <c r="AK235" s="88"/>
      <c r="AL235" s="89">
        <v>7919000</v>
      </c>
      <c r="AM235" s="86">
        <f t="shared" si="261"/>
        <v>7919000</v>
      </c>
      <c r="AN235" s="172">
        <f t="shared" si="257"/>
        <v>0</v>
      </c>
      <c r="AO235" s="101"/>
      <c r="AP235" s="160"/>
      <c r="AQ235" s="160"/>
      <c r="AR235" s="160">
        <v>8894000</v>
      </c>
      <c r="AS235" s="164">
        <f t="shared" si="262"/>
        <v>8894000</v>
      </c>
      <c r="AT235" s="52">
        <f t="shared" si="258"/>
        <v>7919</v>
      </c>
      <c r="AU235" s="40"/>
      <c r="AV235" s="101"/>
      <c r="AW235" s="155">
        <v>8894</v>
      </c>
      <c r="BD235" s="304"/>
      <c r="BE235" s="304"/>
      <c r="BI235" s="80"/>
      <c r="BK235" s="317"/>
      <c r="BL235" s="569">
        <f>'FY 2013 by Agency'!AS235*Inflator!$E$13</f>
        <v>0</v>
      </c>
      <c r="BM235" s="69">
        <f>'FY 2013 by Agency'!AT235*Inflator!$E$13</f>
        <v>0</v>
      </c>
      <c r="BN235" s="388" t="e">
        <f t="shared" si="259"/>
        <v>#DIV/0!</v>
      </c>
      <c r="BP235" s="52">
        <f t="shared" si="247"/>
        <v>0</v>
      </c>
      <c r="BQ235" s="50" t="e">
        <f t="shared" si="248"/>
        <v>#DIV/0!</v>
      </c>
      <c r="BR235" s="52">
        <f>'FY 2013 by Agency'!BE234*Inflator!$E$14</f>
        <v>0</v>
      </c>
      <c r="BS235" s="52">
        <f t="shared" si="249"/>
        <v>0</v>
      </c>
      <c r="BT235" s="50" t="e">
        <f t="shared" si="250"/>
        <v>#DIV/0!</v>
      </c>
      <c r="BU235" s="69">
        <f>'FY 2013 by Agency'!BL235*Inflator!$E$14</f>
        <v>0</v>
      </c>
      <c r="BV235" s="69">
        <f>'FY 2013 by Agency'!BM235*Inflator!$E$14</f>
        <v>0</v>
      </c>
      <c r="BW235" s="39"/>
      <c r="BY235" s="534"/>
      <c r="BZ235" s="39">
        <f t="shared" si="241"/>
        <v>0</v>
      </c>
      <c r="CA235" s="51" t="e">
        <f t="shared" si="242"/>
        <v>#DIV/0!</v>
      </c>
      <c r="CC235" s="39">
        <f t="shared" si="260"/>
        <v>0</v>
      </c>
    </row>
    <row r="236" spans="1:81" s="63" customFormat="1" ht="18" hidden="1" customHeight="1">
      <c r="A236" s="53"/>
      <c r="B236" s="322" t="e">
        <f>'FY 2013 by Agency'!B235*Inflator!#REF!</f>
        <v>#REF!</v>
      </c>
      <c r="C236" s="322" t="e">
        <f>'FY 2013 by Agency'!C235*Inflator!#REF!</f>
        <v>#REF!</v>
      </c>
      <c r="D236" s="322" t="e">
        <f t="shared" si="243"/>
        <v>#REF!</v>
      </c>
      <c r="E236" s="351" t="e">
        <f t="shared" si="252"/>
        <v>#REF!</v>
      </c>
      <c r="F236" s="10" t="e">
        <f>'FY 2013 by Agency'!F235*Inflator!#REF!</f>
        <v>#REF!</v>
      </c>
      <c r="G236" s="10" t="e">
        <f t="shared" si="244"/>
        <v>#REF!</v>
      </c>
      <c r="H236" s="14" t="e">
        <f t="shared" si="253"/>
        <v>#REF!</v>
      </c>
      <c r="I236" s="10" t="e">
        <f>'FY 2013 by Agency'!I235*Inflator!#REF!</f>
        <v>#REF!</v>
      </c>
      <c r="J236" s="10" t="e">
        <f t="shared" si="245"/>
        <v>#REF!</v>
      </c>
      <c r="K236" s="14" t="e">
        <f t="shared" si="254"/>
        <v>#REF!</v>
      </c>
      <c r="L236" s="10" t="e">
        <f>'FY 2013 by Agency'!L235*Inflator!#REF!</f>
        <v>#REF!</v>
      </c>
      <c r="M236" s="10" t="e">
        <f t="shared" si="246"/>
        <v>#REF!</v>
      </c>
      <c r="N236" s="14" t="e">
        <f t="shared" si="255"/>
        <v>#REF!</v>
      </c>
      <c r="O236" s="10" t="e">
        <f>'FY 2013 by Agency'!O235*Inflator!#REF!</f>
        <v>#REF!</v>
      </c>
      <c r="P236" s="69"/>
      <c r="Q236" s="60"/>
      <c r="R236" s="52" t="e">
        <f>'FY 2013 by Agency'!R235*Inflator!#REF!</f>
        <v>#REF!</v>
      </c>
      <c r="S236" s="52"/>
      <c r="T236" s="60"/>
      <c r="U236" s="52" t="e">
        <f>'FY 2013 by Agency'!U235*Inflator!#REF!</f>
        <v>#REF!</v>
      </c>
      <c r="V236" s="69"/>
      <c r="W236" s="60"/>
      <c r="X236" s="52" t="e">
        <f>'FY 2013 by Agency'!X235*Inflator!#REF!</f>
        <v>#REF!</v>
      </c>
      <c r="Y236" s="39"/>
      <c r="Z236" s="58"/>
      <c r="AA236" s="52" t="e">
        <f>'FY 2013 by Agency'!AA235*Inflator!#REF!</f>
        <v>#REF!</v>
      </c>
      <c r="AB236" s="39"/>
      <c r="AC236" s="65"/>
      <c r="AD236" s="52" t="e">
        <f>'FY 2013 by Agency'!AD235*Inflator!#REF!</f>
        <v>#REF!</v>
      </c>
      <c r="AE236" s="166"/>
      <c r="AF236" s="157"/>
      <c r="AG236" s="157"/>
      <c r="AH236" s="157"/>
      <c r="AI236" s="157"/>
      <c r="AJ236" s="89">
        <v>62070000</v>
      </c>
      <c r="AK236" s="88"/>
      <c r="AL236" s="89">
        <v>36819126</v>
      </c>
      <c r="AM236" s="86">
        <f t="shared" si="261"/>
        <v>98889126</v>
      </c>
      <c r="AN236" s="172">
        <f t="shared" si="257"/>
        <v>0</v>
      </c>
      <c r="AO236" s="101"/>
      <c r="AP236" s="160">
        <v>62070000</v>
      </c>
      <c r="AQ236" s="160"/>
      <c r="AR236" s="160">
        <v>42314840</v>
      </c>
      <c r="AS236" s="164">
        <f t="shared" si="262"/>
        <v>104384840</v>
      </c>
      <c r="AT236" s="52">
        <f t="shared" si="258"/>
        <v>98889.126000000004</v>
      </c>
      <c r="AU236" s="40"/>
      <c r="AV236" s="101"/>
      <c r="AW236" s="155">
        <v>122161</v>
      </c>
      <c r="BD236" s="304"/>
      <c r="BE236" s="304"/>
      <c r="BI236" s="80"/>
      <c r="BK236" s="317"/>
      <c r="BL236" s="569">
        <f>'FY 2013 by Agency'!AS236*Inflator!$E$13</f>
        <v>0</v>
      </c>
      <c r="BM236" s="69">
        <f>'FY 2013 by Agency'!AT236*Inflator!$E$13</f>
        <v>0</v>
      </c>
      <c r="BN236" s="388" t="e">
        <f t="shared" si="259"/>
        <v>#DIV/0!</v>
      </c>
      <c r="BP236" s="52">
        <f t="shared" si="247"/>
        <v>0</v>
      </c>
      <c r="BQ236" s="50" t="e">
        <f t="shared" si="248"/>
        <v>#DIV/0!</v>
      </c>
      <c r="BR236" s="52">
        <f>'FY 2013 by Agency'!BE235*Inflator!$E$14</f>
        <v>0</v>
      </c>
      <c r="BS236" s="52">
        <f t="shared" si="249"/>
        <v>0</v>
      </c>
      <c r="BT236" s="50" t="e">
        <f t="shared" si="250"/>
        <v>#DIV/0!</v>
      </c>
      <c r="BU236" s="69">
        <f>'FY 2013 by Agency'!BL236*Inflator!$E$14</f>
        <v>0</v>
      </c>
      <c r="BV236" s="69">
        <f>'FY 2013 by Agency'!BM236*Inflator!$E$14</f>
        <v>0</v>
      </c>
      <c r="BW236" s="39"/>
      <c r="BY236" s="534"/>
      <c r="BZ236" s="39">
        <f t="shared" si="241"/>
        <v>0</v>
      </c>
      <c r="CA236" s="51" t="e">
        <f t="shared" si="242"/>
        <v>#DIV/0!</v>
      </c>
      <c r="CC236" s="39">
        <f t="shared" si="260"/>
        <v>0</v>
      </c>
    </row>
    <row r="237" spans="1:81" s="63" customFormat="1" ht="18" hidden="1" customHeight="1">
      <c r="A237" s="53"/>
      <c r="B237" s="322" t="e">
        <f>'FY 2013 by Agency'!B236*Inflator!#REF!</f>
        <v>#REF!</v>
      </c>
      <c r="C237" s="322" t="e">
        <f>'FY 2013 by Agency'!C236*Inflator!#REF!</f>
        <v>#REF!</v>
      </c>
      <c r="D237" s="322" t="e">
        <f t="shared" si="243"/>
        <v>#REF!</v>
      </c>
      <c r="E237" s="351" t="e">
        <f t="shared" si="252"/>
        <v>#REF!</v>
      </c>
      <c r="F237" s="10" t="e">
        <f>'FY 2013 by Agency'!F236*Inflator!#REF!</f>
        <v>#REF!</v>
      </c>
      <c r="G237" s="10" t="e">
        <f t="shared" si="244"/>
        <v>#REF!</v>
      </c>
      <c r="H237" s="14" t="e">
        <f t="shared" si="253"/>
        <v>#REF!</v>
      </c>
      <c r="I237" s="10" t="e">
        <f>'FY 2013 by Agency'!I236*Inflator!#REF!</f>
        <v>#REF!</v>
      </c>
      <c r="J237" s="10" t="e">
        <f t="shared" si="245"/>
        <v>#REF!</v>
      </c>
      <c r="K237" s="14" t="e">
        <f t="shared" si="254"/>
        <v>#REF!</v>
      </c>
      <c r="L237" s="10" t="e">
        <f>'FY 2013 by Agency'!L236*Inflator!#REF!</f>
        <v>#REF!</v>
      </c>
      <c r="M237" s="10" t="e">
        <f t="shared" si="246"/>
        <v>#REF!</v>
      </c>
      <c r="N237" s="14" t="e">
        <f t="shared" si="255"/>
        <v>#REF!</v>
      </c>
      <c r="O237" s="10" t="e">
        <f>'FY 2013 by Agency'!O236*Inflator!#REF!</f>
        <v>#REF!</v>
      </c>
      <c r="P237" s="69"/>
      <c r="Q237" s="60"/>
      <c r="R237" s="52" t="e">
        <f>'FY 2013 by Agency'!R236*Inflator!#REF!</f>
        <v>#REF!</v>
      </c>
      <c r="S237" s="52"/>
      <c r="T237" s="60"/>
      <c r="U237" s="52" t="e">
        <f>'FY 2013 by Agency'!U236*Inflator!#REF!</f>
        <v>#REF!</v>
      </c>
      <c r="V237" s="69"/>
      <c r="W237" s="60"/>
      <c r="X237" s="52" t="e">
        <f>'FY 2013 by Agency'!X236*Inflator!#REF!</f>
        <v>#REF!</v>
      </c>
      <c r="Y237" s="39"/>
      <c r="Z237" s="58"/>
      <c r="AA237" s="52" t="e">
        <f>'FY 2013 by Agency'!AA236*Inflator!#REF!</f>
        <v>#REF!</v>
      </c>
      <c r="AB237" s="39"/>
      <c r="AC237" s="65"/>
      <c r="AD237" s="52" t="e">
        <f>'FY 2013 by Agency'!AD236*Inflator!#REF!</f>
        <v>#REF!</v>
      </c>
      <c r="AE237" s="166"/>
      <c r="AF237" s="157"/>
      <c r="AG237" s="157"/>
      <c r="AH237" s="157"/>
      <c r="AI237" s="157"/>
      <c r="AJ237" s="88"/>
      <c r="AK237" s="88"/>
      <c r="AL237" s="89">
        <v>2400000</v>
      </c>
      <c r="AM237" s="86">
        <f t="shared" si="261"/>
        <v>2400000</v>
      </c>
      <c r="AN237" s="172">
        <f t="shared" si="257"/>
        <v>0</v>
      </c>
      <c r="AO237" s="101"/>
      <c r="AP237" s="160"/>
      <c r="AQ237" s="160"/>
      <c r="AR237" s="160">
        <v>0</v>
      </c>
      <c r="AS237" s="164">
        <f t="shared" si="262"/>
        <v>0</v>
      </c>
      <c r="AT237" s="52">
        <f t="shared" si="258"/>
        <v>2400</v>
      </c>
      <c r="AU237" s="40"/>
      <c r="AV237" s="101"/>
      <c r="AW237" s="155">
        <v>0</v>
      </c>
      <c r="BD237" s="304"/>
      <c r="BE237" s="304"/>
      <c r="BI237" s="80"/>
      <c r="BK237" s="317"/>
      <c r="BL237" s="569">
        <f>'FY 2013 by Agency'!AS237*Inflator!$E$13</f>
        <v>0</v>
      </c>
      <c r="BM237" s="69">
        <f>'FY 2013 by Agency'!AT237*Inflator!$E$13</f>
        <v>0</v>
      </c>
      <c r="BN237" s="388" t="e">
        <f t="shared" si="259"/>
        <v>#DIV/0!</v>
      </c>
      <c r="BP237" s="52">
        <f t="shared" si="247"/>
        <v>0</v>
      </c>
      <c r="BQ237" s="50" t="e">
        <f t="shared" si="248"/>
        <v>#DIV/0!</v>
      </c>
      <c r="BR237" s="52">
        <f>'FY 2013 by Agency'!BE236*Inflator!$E$14</f>
        <v>0</v>
      </c>
      <c r="BS237" s="52">
        <f t="shared" si="249"/>
        <v>0</v>
      </c>
      <c r="BT237" s="50" t="e">
        <f t="shared" si="250"/>
        <v>#DIV/0!</v>
      </c>
      <c r="BU237" s="69">
        <f>'FY 2013 by Agency'!BL237*Inflator!$E$14</f>
        <v>0</v>
      </c>
      <c r="BV237" s="69">
        <f>'FY 2013 by Agency'!BM237*Inflator!$E$14</f>
        <v>0</v>
      </c>
      <c r="BW237" s="39"/>
      <c r="BY237" s="534"/>
      <c r="BZ237" s="39">
        <f t="shared" si="241"/>
        <v>0</v>
      </c>
      <c r="CA237" s="51" t="e">
        <f t="shared" si="242"/>
        <v>#DIV/0!</v>
      </c>
      <c r="CC237" s="39">
        <f t="shared" si="260"/>
        <v>0</v>
      </c>
    </row>
    <row r="238" spans="1:81" s="63" customFormat="1" ht="18" hidden="1" customHeight="1">
      <c r="A238" s="53"/>
      <c r="B238" s="322" t="e">
        <f>'FY 2013 by Agency'!B237*Inflator!#REF!</f>
        <v>#REF!</v>
      </c>
      <c r="C238" s="322" t="e">
        <f>'FY 2013 by Agency'!C237*Inflator!#REF!</f>
        <v>#REF!</v>
      </c>
      <c r="D238" s="322" t="e">
        <f t="shared" si="243"/>
        <v>#REF!</v>
      </c>
      <c r="E238" s="351" t="e">
        <f t="shared" si="252"/>
        <v>#REF!</v>
      </c>
      <c r="F238" s="10" t="e">
        <f>'FY 2013 by Agency'!F237*Inflator!#REF!</f>
        <v>#REF!</v>
      </c>
      <c r="G238" s="10" t="e">
        <f t="shared" si="244"/>
        <v>#REF!</v>
      </c>
      <c r="H238" s="14" t="e">
        <f t="shared" si="253"/>
        <v>#REF!</v>
      </c>
      <c r="I238" s="10" t="e">
        <f>'FY 2013 by Agency'!I237*Inflator!#REF!</f>
        <v>#REF!</v>
      </c>
      <c r="J238" s="10" t="e">
        <f t="shared" si="245"/>
        <v>#REF!</v>
      </c>
      <c r="K238" s="14" t="e">
        <f t="shared" si="254"/>
        <v>#REF!</v>
      </c>
      <c r="L238" s="10" t="e">
        <f>'FY 2013 by Agency'!L237*Inflator!#REF!</f>
        <v>#REF!</v>
      </c>
      <c r="M238" s="10" t="e">
        <f t="shared" si="246"/>
        <v>#REF!</v>
      </c>
      <c r="N238" s="14" t="e">
        <f t="shared" si="255"/>
        <v>#REF!</v>
      </c>
      <c r="O238" s="10" t="e">
        <f>'FY 2013 by Agency'!O237*Inflator!#REF!</f>
        <v>#REF!</v>
      </c>
      <c r="P238" s="69"/>
      <c r="Q238" s="60"/>
      <c r="R238" s="52" t="e">
        <f>'FY 2013 by Agency'!R237*Inflator!#REF!</f>
        <v>#REF!</v>
      </c>
      <c r="S238" s="52"/>
      <c r="T238" s="60"/>
      <c r="U238" s="52" t="e">
        <f>'FY 2013 by Agency'!U237*Inflator!#REF!</f>
        <v>#REF!</v>
      </c>
      <c r="V238" s="69"/>
      <c r="W238" s="60"/>
      <c r="X238" s="52" t="e">
        <f>'FY 2013 by Agency'!X237*Inflator!#REF!</f>
        <v>#REF!</v>
      </c>
      <c r="Y238" s="39"/>
      <c r="Z238" s="58"/>
      <c r="AA238" s="52" t="e">
        <f>'FY 2013 by Agency'!AA237*Inflator!#REF!</f>
        <v>#REF!</v>
      </c>
      <c r="AB238" s="39"/>
      <c r="AC238" s="65"/>
      <c r="AD238" s="52" t="e">
        <f>'FY 2013 by Agency'!AD237*Inflator!#REF!</f>
        <v>#REF!</v>
      </c>
      <c r="AE238" s="166"/>
      <c r="AF238" s="157"/>
      <c r="AG238" s="157"/>
      <c r="AH238" s="157"/>
      <c r="AI238" s="157"/>
      <c r="AJ238" s="88"/>
      <c r="AK238" s="88"/>
      <c r="AL238" s="89">
        <v>17000</v>
      </c>
      <c r="AM238" s="86">
        <f t="shared" si="261"/>
        <v>17000</v>
      </c>
      <c r="AN238" s="172">
        <f t="shared" si="257"/>
        <v>0</v>
      </c>
      <c r="AO238" s="101"/>
      <c r="AP238" s="160"/>
      <c r="AQ238" s="160"/>
      <c r="AR238" s="160">
        <v>17000</v>
      </c>
      <c r="AS238" s="164">
        <f t="shared" si="262"/>
        <v>17000</v>
      </c>
      <c r="AT238" s="52">
        <f t="shared" si="258"/>
        <v>17</v>
      </c>
      <c r="AU238" s="40"/>
      <c r="AV238" s="101"/>
      <c r="AW238" s="155">
        <v>17</v>
      </c>
      <c r="BD238" s="304"/>
      <c r="BE238" s="304"/>
      <c r="BI238" s="80"/>
      <c r="BK238" s="317"/>
      <c r="BL238" s="569">
        <f>'FY 2013 by Agency'!AS238*Inflator!$E$13</f>
        <v>0</v>
      </c>
      <c r="BM238" s="69">
        <f>'FY 2013 by Agency'!AT238*Inflator!$E$13</f>
        <v>0</v>
      </c>
      <c r="BN238" s="388" t="e">
        <f t="shared" si="259"/>
        <v>#DIV/0!</v>
      </c>
      <c r="BP238" s="52">
        <f t="shared" si="247"/>
        <v>0</v>
      </c>
      <c r="BQ238" s="50" t="e">
        <f t="shared" si="248"/>
        <v>#DIV/0!</v>
      </c>
      <c r="BR238" s="52">
        <f>'FY 2013 by Agency'!BE237*Inflator!$E$14</f>
        <v>0</v>
      </c>
      <c r="BS238" s="52">
        <f t="shared" si="249"/>
        <v>0</v>
      </c>
      <c r="BT238" s="50" t="e">
        <f t="shared" si="250"/>
        <v>#DIV/0!</v>
      </c>
      <c r="BU238" s="69">
        <f>'FY 2013 by Agency'!BL238*Inflator!$E$14</f>
        <v>0</v>
      </c>
      <c r="BV238" s="69">
        <f>'FY 2013 by Agency'!BM238*Inflator!$E$14</f>
        <v>0</v>
      </c>
      <c r="BW238" s="39"/>
      <c r="BY238" s="534"/>
      <c r="BZ238" s="39">
        <f t="shared" si="241"/>
        <v>0</v>
      </c>
      <c r="CA238" s="51" t="e">
        <f t="shared" si="242"/>
        <v>#DIV/0!</v>
      </c>
      <c r="CC238" s="39">
        <f t="shared" si="260"/>
        <v>0</v>
      </c>
    </row>
    <row r="239" spans="1:81" s="63" customFormat="1" ht="18" hidden="1" customHeight="1">
      <c r="A239" s="53"/>
      <c r="B239" s="322" t="e">
        <f>'FY 2013 by Agency'!B238*Inflator!#REF!</f>
        <v>#REF!</v>
      </c>
      <c r="C239" s="322" t="e">
        <f>'FY 2013 by Agency'!C238*Inflator!#REF!</f>
        <v>#REF!</v>
      </c>
      <c r="D239" s="322" t="e">
        <f t="shared" si="243"/>
        <v>#REF!</v>
      </c>
      <c r="E239" s="351" t="e">
        <f t="shared" si="252"/>
        <v>#REF!</v>
      </c>
      <c r="F239" s="10" t="e">
        <f>'FY 2013 by Agency'!F238*Inflator!#REF!</f>
        <v>#REF!</v>
      </c>
      <c r="G239" s="10" t="e">
        <f t="shared" si="244"/>
        <v>#REF!</v>
      </c>
      <c r="H239" s="14" t="e">
        <f t="shared" si="253"/>
        <v>#REF!</v>
      </c>
      <c r="I239" s="10" t="e">
        <f>'FY 2013 by Agency'!I238*Inflator!#REF!</f>
        <v>#REF!</v>
      </c>
      <c r="J239" s="10" t="e">
        <f t="shared" si="245"/>
        <v>#REF!</v>
      </c>
      <c r="K239" s="14" t="e">
        <f t="shared" si="254"/>
        <v>#REF!</v>
      </c>
      <c r="L239" s="10" t="e">
        <f>'FY 2013 by Agency'!L238*Inflator!#REF!</f>
        <v>#REF!</v>
      </c>
      <c r="M239" s="10" t="e">
        <f t="shared" si="246"/>
        <v>#REF!</v>
      </c>
      <c r="N239" s="14" t="e">
        <f t="shared" si="255"/>
        <v>#REF!</v>
      </c>
      <c r="O239" s="10" t="e">
        <f>'FY 2013 by Agency'!O238*Inflator!#REF!</f>
        <v>#REF!</v>
      </c>
      <c r="P239" s="69"/>
      <c r="Q239" s="60"/>
      <c r="R239" s="52" t="e">
        <f>'FY 2013 by Agency'!R238*Inflator!#REF!</f>
        <v>#REF!</v>
      </c>
      <c r="S239" s="52"/>
      <c r="T239" s="60"/>
      <c r="U239" s="52" t="e">
        <f>'FY 2013 by Agency'!U238*Inflator!#REF!</f>
        <v>#REF!</v>
      </c>
      <c r="V239" s="69"/>
      <c r="W239" s="60"/>
      <c r="X239" s="52" t="e">
        <f>'FY 2013 by Agency'!X238*Inflator!#REF!</f>
        <v>#REF!</v>
      </c>
      <c r="Y239" s="39"/>
      <c r="Z239" s="58"/>
      <c r="AA239" s="52" t="e">
        <f>'FY 2013 by Agency'!AA238*Inflator!#REF!</f>
        <v>#REF!</v>
      </c>
      <c r="AB239" s="39"/>
      <c r="AC239" s="65"/>
      <c r="AD239" s="52" t="e">
        <f>'FY 2013 by Agency'!AD238*Inflator!#REF!</f>
        <v>#REF!</v>
      </c>
      <c r="AE239" s="166"/>
      <c r="AF239" s="157"/>
      <c r="AG239" s="157"/>
      <c r="AH239" s="157"/>
      <c r="AI239" s="157"/>
      <c r="AJ239" s="88"/>
      <c r="AK239" s="88"/>
      <c r="AL239" s="89">
        <v>180000000</v>
      </c>
      <c r="AM239" s="86">
        <f t="shared" si="261"/>
        <v>180000000</v>
      </c>
      <c r="AN239" s="172">
        <f t="shared" si="257"/>
        <v>0</v>
      </c>
      <c r="AO239" s="101"/>
      <c r="AP239" s="160"/>
      <c r="AQ239" s="160"/>
      <c r="AR239" s="160">
        <v>180000000</v>
      </c>
      <c r="AS239" s="164">
        <f t="shared" si="262"/>
        <v>180000000</v>
      </c>
      <c r="AT239" s="52">
        <f t="shared" si="258"/>
        <v>180000</v>
      </c>
      <c r="AU239" s="40"/>
      <c r="AV239" s="101"/>
      <c r="AW239" s="155">
        <v>251000</v>
      </c>
      <c r="BD239" s="304"/>
      <c r="BE239" s="304"/>
      <c r="BI239" s="80"/>
      <c r="BK239" s="317"/>
      <c r="BL239" s="569">
        <f>'FY 2013 by Agency'!AS239*Inflator!$E$13</f>
        <v>0</v>
      </c>
      <c r="BM239" s="69">
        <f>'FY 2013 by Agency'!AT239*Inflator!$E$13</f>
        <v>0</v>
      </c>
      <c r="BN239" s="388" t="e">
        <f t="shared" si="259"/>
        <v>#DIV/0!</v>
      </c>
      <c r="BP239" s="52">
        <f t="shared" si="247"/>
        <v>0</v>
      </c>
      <c r="BQ239" s="50" t="e">
        <f t="shared" si="248"/>
        <v>#DIV/0!</v>
      </c>
      <c r="BR239" s="52">
        <f>'FY 2013 by Agency'!BE238*Inflator!$E$14</f>
        <v>0</v>
      </c>
      <c r="BS239" s="52">
        <f t="shared" si="249"/>
        <v>0</v>
      </c>
      <c r="BT239" s="50" t="e">
        <f t="shared" si="250"/>
        <v>#DIV/0!</v>
      </c>
      <c r="BU239" s="69">
        <f>'FY 2013 by Agency'!BL239*Inflator!$E$14</f>
        <v>0</v>
      </c>
      <c r="BV239" s="69">
        <f>'FY 2013 by Agency'!BM239*Inflator!$E$14</f>
        <v>0</v>
      </c>
      <c r="BW239" s="39"/>
      <c r="BY239" s="534"/>
      <c r="BZ239" s="39">
        <f t="shared" si="241"/>
        <v>0</v>
      </c>
      <c r="CA239" s="51" t="e">
        <f t="shared" si="242"/>
        <v>#DIV/0!</v>
      </c>
      <c r="CC239" s="39">
        <f t="shared" si="260"/>
        <v>0</v>
      </c>
    </row>
    <row r="240" spans="1:81" s="63" customFormat="1" ht="18" hidden="1" customHeight="1">
      <c r="A240" s="53"/>
      <c r="B240" s="322" t="e">
        <f>'FY 2013 by Agency'!B239*Inflator!#REF!</f>
        <v>#REF!</v>
      </c>
      <c r="C240" s="322" t="e">
        <f>'FY 2013 by Agency'!C239*Inflator!#REF!</f>
        <v>#REF!</v>
      </c>
      <c r="D240" s="322" t="e">
        <f t="shared" si="243"/>
        <v>#REF!</v>
      </c>
      <c r="E240" s="351" t="e">
        <f t="shared" si="252"/>
        <v>#REF!</v>
      </c>
      <c r="F240" s="10" t="e">
        <f>'FY 2013 by Agency'!F239*Inflator!#REF!</f>
        <v>#REF!</v>
      </c>
      <c r="G240" s="10" t="e">
        <f t="shared" si="244"/>
        <v>#REF!</v>
      </c>
      <c r="H240" s="14" t="e">
        <f t="shared" si="253"/>
        <v>#REF!</v>
      </c>
      <c r="I240" s="10" t="e">
        <f>'FY 2013 by Agency'!I239*Inflator!#REF!</f>
        <v>#REF!</v>
      </c>
      <c r="J240" s="10" t="e">
        <f t="shared" si="245"/>
        <v>#REF!</v>
      </c>
      <c r="K240" s="14" t="e">
        <f t="shared" si="254"/>
        <v>#REF!</v>
      </c>
      <c r="L240" s="10" t="e">
        <f>'FY 2013 by Agency'!L239*Inflator!#REF!</f>
        <v>#REF!</v>
      </c>
      <c r="M240" s="10" t="e">
        <f t="shared" si="246"/>
        <v>#REF!</v>
      </c>
      <c r="N240" s="14" t="e">
        <f t="shared" si="255"/>
        <v>#REF!</v>
      </c>
      <c r="O240" s="10" t="e">
        <f>'FY 2013 by Agency'!O239*Inflator!#REF!</f>
        <v>#REF!</v>
      </c>
      <c r="P240" s="69"/>
      <c r="Q240" s="60"/>
      <c r="R240" s="52" t="e">
        <f>'FY 2013 by Agency'!R239*Inflator!#REF!</f>
        <v>#REF!</v>
      </c>
      <c r="S240" s="52"/>
      <c r="T240" s="60"/>
      <c r="U240" s="52" t="e">
        <f>'FY 2013 by Agency'!U239*Inflator!#REF!</f>
        <v>#REF!</v>
      </c>
      <c r="V240" s="69"/>
      <c r="W240" s="60"/>
      <c r="X240" s="52" t="e">
        <f>'FY 2013 by Agency'!X239*Inflator!#REF!</f>
        <v>#REF!</v>
      </c>
      <c r="Y240" s="39"/>
      <c r="Z240" s="58"/>
      <c r="AA240" s="52" t="e">
        <f>'FY 2013 by Agency'!AA239*Inflator!#REF!</f>
        <v>#REF!</v>
      </c>
      <c r="AB240" s="39"/>
      <c r="AC240" s="65"/>
      <c r="AD240" s="52" t="e">
        <f>'FY 2013 by Agency'!AD239*Inflator!#REF!</f>
        <v>#REF!</v>
      </c>
      <c r="AE240" s="166"/>
      <c r="AF240" s="157"/>
      <c r="AG240" s="157"/>
      <c r="AH240" s="157"/>
      <c r="AI240" s="157"/>
      <c r="AJ240" s="89"/>
      <c r="AK240" s="89">
        <v>108679538</v>
      </c>
      <c r="AL240" s="89"/>
      <c r="AM240" s="86">
        <f t="shared" si="261"/>
        <v>108679538</v>
      </c>
      <c r="AN240" s="172">
        <f t="shared" si="257"/>
        <v>0</v>
      </c>
      <c r="AO240" s="101"/>
      <c r="AP240" s="160"/>
      <c r="AQ240" s="160">
        <v>62301694</v>
      </c>
      <c r="AR240" s="160"/>
      <c r="AS240" s="164">
        <f t="shared" si="262"/>
        <v>62301694</v>
      </c>
      <c r="AT240" s="52">
        <f t="shared" si="258"/>
        <v>108679.538</v>
      </c>
      <c r="AU240" s="40"/>
      <c r="AV240" s="101"/>
      <c r="AW240" s="155">
        <v>51329</v>
      </c>
      <c r="BD240" s="304"/>
      <c r="BE240" s="304"/>
      <c r="BI240" s="80"/>
      <c r="BK240" s="317"/>
      <c r="BL240" s="569">
        <f>'FY 2013 by Agency'!AS240*Inflator!$E$13</f>
        <v>0</v>
      </c>
      <c r="BM240" s="69">
        <f>'FY 2013 by Agency'!AT240*Inflator!$E$13</f>
        <v>0</v>
      </c>
      <c r="BN240" s="388" t="e">
        <f t="shared" si="259"/>
        <v>#DIV/0!</v>
      </c>
      <c r="BP240" s="52">
        <f t="shared" si="247"/>
        <v>0</v>
      </c>
      <c r="BQ240" s="50" t="e">
        <f t="shared" si="248"/>
        <v>#DIV/0!</v>
      </c>
      <c r="BR240" s="52">
        <f>'FY 2013 by Agency'!BE239*Inflator!$E$14</f>
        <v>0</v>
      </c>
      <c r="BS240" s="52">
        <f t="shared" si="249"/>
        <v>0</v>
      </c>
      <c r="BT240" s="50" t="e">
        <f t="shared" si="250"/>
        <v>#DIV/0!</v>
      </c>
      <c r="BU240" s="69">
        <f>'FY 2013 by Agency'!BL240*Inflator!$E$14</f>
        <v>0</v>
      </c>
      <c r="BV240" s="69">
        <f>'FY 2013 by Agency'!BM240*Inflator!$E$14</f>
        <v>0</v>
      </c>
      <c r="BW240" s="39"/>
      <c r="BY240" s="534"/>
      <c r="BZ240" s="39">
        <f t="shared" si="241"/>
        <v>0</v>
      </c>
      <c r="CA240" s="51" t="e">
        <f t="shared" si="242"/>
        <v>#DIV/0!</v>
      </c>
      <c r="CC240" s="39">
        <f t="shared" si="260"/>
        <v>0</v>
      </c>
    </row>
    <row r="241" spans="1:81" s="63" customFormat="1" ht="18" hidden="1" customHeight="1">
      <c r="A241" s="53"/>
      <c r="B241" s="322" t="e">
        <f>'FY 2013 by Agency'!B240*Inflator!#REF!</f>
        <v>#REF!</v>
      </c>
      <c r="C241" s="322" t="e">
        <f>'FY 2013 by Agency'!C240*Inflator!#REF!</f>
        <v>#REF!</v>
      </c>
      <c r="D241" s="322" t="e">
        <f t="shared" si="243"/>
        <v>#REF!</v>
      </c>
      <c r="E241" s="351" t="e">
        <f t="shared" si="252"/>
        <v>#REF!</v>
      </c>
      <c r="F241" s="10" t="e">
        <f>'FY 2013 by Agency'!F240*Inflator!#REF!</f>
        <v>#REF!</v>
      </c>
      <c r="G241" s="10" t="e">
        <f t="shared" si="244"/>
        <v>#REF!</v>
      </c>
      <c r="H241" s="14" t="e">
        <f t="shared" si="253"/>
        <v>#REF!</v>
      </c>
      <c r="I241" s="10" t="e">
        <f>'FY 2013 by Agency'!I240*Inflator!#REF!</f>
        <v>#REF!</v>
      </c>
      <c r="J241" s="10" t="e">
        <f t="shared" si="245"/>
        <v>#REF!</v>
      </c>
      <c r="K241" s="14" t="e">
        <f t="shared" si="254"/>
        <v>#REF!</v>
      </c>
      <c r="L241" s="10" t="e">
        <f>'FY 2013 by Agency'!L240*Inflator!#REF!</f>
        <v>#REF!</v>
      </c>
      <c r="M241" s="10" t="e">
        <f t="shared" si="246"/>
        <v>#REF!</v>
      </c>
      <c r="N241" s="14" t="e">
        <f t="shared" si="255"/>
        <v>#REF!</v>
      </c>
      <c r="O241" s="10" t="e">
        <f>'FY 2013 by Agency'!O240*Inflator!#REF!</f>
        <v>#REF!</v>
      </c>
      <c r="P241" s="69"/>
      <c r="Q241" s="60"/>
      <c r="R241" s="52" t="e">
        <f>'FY 2013 by Agency'!R240*Inflator!#REF!</f>
        <v>#REF!</v>
      </c>
      <c r="S241" s="52"/>
      <c r="T241" s="60"/>
      <c r="U241" s="52" t="e">
        <f>'FY 2013 by Agency'!U240*Inflator!#REF!</f>
        <v>#REF!</v>
      </c>
      <c r="V241" s="69"/>
      <c r="W241" s="60"/>
      <c r="X241" s="52" t="e">
        <f>'FY 2013 by Agency'!X240*Inflator!#REF!</f>
        <v>#REF!</v>
      </c>
      <c r="Y241" s="39"/>
      <c r="Z241" s="58"/>
      <c r="AA241" s="52" t="e">
        <f>'FY 2013 by Agency'!AA240*Inflator!#REF!</f>
        <v>#REF!</v>
      </c>
      <c r="AB241" s="39"/>
      <c r="AC241" s="65"/>
      <c r="AD241" s="52" t="e">
        <f>'FY 2013 by Agency'!AD240*Inflator!#REF!</f>
        <v>#REF!</v>
      </c>
      <c r="AE241" s="166"/>
      <c r="AF241" s="157"/>
      <c r="AG241" s="157"/>
      <c r="AH241" s="157"/>
      <c r="AI241" s="157"/>
      <c r="AJ241" s="88" t="s">
        <v>149</v>
      </c>
      <c r="AK241" s="88"/>
      <c r="AL241" s="88"/>
      <c r="AM241" s="86"/>
      <c r="AN241" s="172">
        <f t="shared" si="257"/>
        <v>0</v>
      </c>
      <c r="AO241" s="101"/>
      <c r="AP241" s="160"/>
      <c r="AQ241" s="160"/>
      <c r="AR241" s="160"/>
      <c r="AS241" s="164"/>
      <c r="AT241" s="52">
        <f t="shared" si="258"/>
        <v>0</v>
      </c>
      <c r="AU241" s="40"/>
      <c r="AV241" s="101"/>
      <c r="AW241" s="155">
        <v>11336</v>
      </c>
      <c r="BD241" s="304"/>
      <c r="BE241" s="304"/>
      <c r="BI241" s="80"/>
      <c r="BK241" s="317"/>
      <c r="BL241" s="569">
        <f>'FY 2013 by Agency'!AS241*Inflator!$E$13</f>
        <v>0</v>
      </c>
      <c r="BM241" s="69">
        <f>'FY 2013 by Agency'!AT241*Inflator!$E$13</f>
        <v>0</v>
      </c>
      <c r="BN241" s="388" t="e">
        <f t="shared" si="259"/>
        <v>#DIV/0!</v>
      </c>
      <c r="BP241" s="52">
        <f t="shared" si="247"/>
        <v>0</v>
      </c>
      <c r="BQ241" s="50" t="e">
        <f t="shared" si="248"/>
        <v>#DIV/0!</v>
      </c>
      <c r="BR241" s="52">
        <f>'FY 2013 by Agency'!BE240*Inflator!$E$14</f>
        <v>0</v>
      </c>
      <c r="BS241" s="52">
        <f t="shared" si="249"/>
        <v>0</v>
      </c>
      <c r="BT241" s="50" t="e">
        <f t="shared" si="250"/>
        <v>#DIV/0!</v>
      </c>
      <c r="BU241" s="69">
        <f>'FY 2013 by Agency'!BL241*Inflator!$E$14</f>
        <v>0</v>
      </c>
      <c r="BV241" s="69">
        <f>'FY 2013 by Agency'!BM241*Inflator!$E$14</f>
        <v>0</v>
      </c>
      <c r="BW241" s="39"/>
      <c r="BY241" s="534"/>
      <c r="BZ241" s="39">
        <f t="shared" si="241"/>
        <v>0</v>
      </c>
      <c r="CA241" s="51" t="e">
        <f t="shared" si="242"/>
        <v>#DIV/0!</v>
      </c>
      <c r="CC241" s="39">
        <f t="shared" si="260"/>
        <v>0</v>
      </c>
    </row>
    <row r="242" spans="1:81" ht="18" hidden="1" customHeight="1">
      <c r="B242" s="322" t="e">
        <f>'FY 2013 by Agency'!B241*Inflator!#REF!</f>
        <v>#REF!</v>
      </c>
      <c r="C242" s="322" t="e">
        <f>'FY 2013 by Agency'!C241*Inflator!#REF!</f>
        <v>#REF!</v>
      </c>
      <c r="D242" s="322" t="e">
        <f t="shared" si="243"/>
        <v>#REF!</v>
      </c>
      <c r="E242" s="351" t="e">
        <f t="shared" si="252"/>
        <v>#REF!</v>
      </c>
      <c r="F242" s="10" t="e">
        <f>'FY 2013 by Agency'!F241*Inflator!#REF!</f>
        <v>#REF!</v>
      </c>
      <c r="G242" s="10" t="e">
        <f t="shared" si="244"/>
        <v>#REF!</v>
      </c>
      <c r="H242" s="14" t="e">
        <f t="shared" si="253"/>
        <v>#REF!</v>
      </c>
      <c r="I242" s="10" t="e">
        <f>'FY 2013 by Agency'!I241*Inflator!#REF!</f>
        <v>#REF!</v>
      </c>
      <c r="J242" s="10" t="e">
        <f t="shared" si="245"/>
        <v>#REF!</v>
      </c>
      <c r="K242" s="14" t="e">
        <f t="shared" si="254"/>
        <v>#REF!</v>
      </c>
      <c r="L242" s="10" t="e">
        <f>'FY 2013 by Agency'!L241*Inflator!#REF!</f>
        <v>#REF!</v>
      </c>
      <c r="M242" s="10" t="e">
        <f t="shared" si="246"/>
        <v>#REF!</v>
      </c>
      <c r="N242" s="14" t="e">
        <f t="shared" si="255"/>
        <v>#REF!</v>
      </c>
      <c r="O242" s="10" t="e">
        <f>'FY 2013 by Agency'!O241*Inflator!#REF!</f>
        <v>#REF!</v>
      </c>
      <c r="R242" s="52" t="e">
        <f>'FY 2013 by Agency'!R241*Inflator!#REF!</f>
        <v>#REF!</v>
      </c>
      <c r="U242" s="52" t="e">
        <f>'FY 2013 by Agency'!U241*Inflator!#REF!</f>
        <v>#REF!</v>
      </c>
      <c r="X242" s="52" t="e">
        <f>'FY 2013 by Agency'!X241*Inflator!#REF!</f>
        <v>#REF!</v>
      </c>
      <c r="AA242" s="52" t="e">
        <f>'FY 2013 by Agency'!AA241*Inflator!#REF!</f>
        <v>#REF!</v>
      </c>
      <c r="AD242" s="52" t="e">
        <f>'FY 2013 by Agency'!AD241*Inflator!#REF!</f>
        <v>#REF!</v>
      </c>
      <c r="AI242" s="157"/>
      <c r="AJ242" s="91">
        <f>SUM(AJ229:AJ241)</f>
        <v>62070000</v>
      </c>
      <c r="AK242" s="91">
        <f t="shared" ref="AK242:AS242" si="263">SUM(AK229:AK241)</f>
        <v>108679538</v>
      </c>
      <c r="AL242" s="91">
        <f t="shared" si="263"/>
        <v>499758476</v>
      </c>
      <c r="AM242" s="91">
        <f t="shared" si="263"/>
        <v>670508014</v>
      </c>
      <c r="AN242" s="172">
        <f t="shared" si="257"/>
        <v>0</v>
      </c>
      <c r="AP242" s="168">
        <f t="shared" si="263"/>
        <v>62070000</v>
      </c>
      <c r="AQ242" s="168">
        <f t="shared" si="263"/>
        <v>62301694</v>
      </c>
      <c r="AR242" s="168">
        <f t="shared" si="263"/>
        <v>489973565</v>
      </c>
      <c r="AS242" s="12">
        <f t="shared" si="263"/>
        <v>614345259</v>
      </c>
      <c r="AT242" s="52">
        <f t="shared" si="258"/>
        <v>670508.01399999997</v>
      </c>
      <c r="AV242" s="97"/>
      <c r="AW242" s="136">
        <f>SUM(AW229:AW241)</f>
        <v>1270397</v>
      </c>
      <c r="BI242" s="65"/>
      <c r="BL242" s="568">
        <f>'FY 2013 by Agency'!AS242*Inflator!$E$13</f>
        <v>6392411.9772361694</v>
      </c>
      <c r="BM242" s="52">
        <f>'FY 2013 by Agency'!AT242*Inflator!$E$13</f>
        <v>353522.047422314</v>
      </c>
      <c r="BN242" s="15" t="e">
        <f t="shared" si="259"/>
        <v>#DIV/0!</v>
      </c>
      <c r="BP242" s="52">
        <f t="shared" si="247"/>
        <v>0</v>
      </c>
      <c r="BQ242" s="50" t="e">
        <f t="shared" si="248"/>
        <v>#DIV/0!</v>
      </c>
      <c r="BR242" s="52">
        <f>'FY 2013 by Agency'!BE241*Inflator!$E$14</f>
        <v>0</v>
      </c>
      <c r="BS242" s="52">
        <f t="shared" si="249"/>
        <v>0</v>
      </c>
      <c r="BT242" s="50" t="e">
        <f t="shared" si="250"/>
        <v>#DIV/0!</v>
      </c>
      <c r="BU242" s="52">
        <f>'FY 2013 by Agency'!BL242*Inflator!$E$14</f>
        <v>6653076.0005971938</v>
      </c>
      <c r="BV242" s="52">
        <f>'FY 2013 by Agency'!BM242*Inflator!$E$14</f>
        <v>398094.20023800479</v>
      </c>
      <c r="BW242" s="554">
        <f>BW222+BW188+BW166+BW133+BW109+BW74+BW41</f>
        <v>6748667</v>
      </c>
      <c r="BY242" s="680" t="e">
        <f>BY41+BY74+#REF!+BY133+BY166+BY188+BY222</f>
        <v>#REF!</v>
      </c>
      <c r="BZ242" s="39">
        <f t="shared" si="241"/>
        <v>6748667</v>
      </c>
      <c r="CA242" s="51" t="e">
        <f t="shared" si="242"/>
        <v>#DIV/0!</v>
      </c>
      <c r="CC242" s="39">
        <f t="shared" si="260"/>
        <v>6748667</v>
      </c>
    </row>
    <row r="243" spans="1:81" ht="18" customHeight="1" thickBot="1">
      <c r="A243" s="220" t="s">
        <v>480</v>
      </c>
      <c r="B243" s="322"/>
      <c r="C243" s="322"/>
      <c r="D243" s="322"/>
      <c r="E243" s="351"/>
      <c r="F243" s="10"/>
      <c r="G243" s="10"/>
      <c r="H243" s="14"/>
      <c r="I243" s="10"/>
      <c r="J243" s="10"/>
      <c r="K243" s="14"/>
      <c r="L243" s="10"/>
      <c r="M243" s="10"/>
      <c r="N243" s="14"/>
      <c r="O243" s="10"/>
      <c r="R243" s="52"/>
      <c r="U243" s="52"/>
      <c r="X243" s="52"/>
      <c r="AA243" s="52"/>
      <c r="AD243" s="52"/>
      <c r="AI243" s="157"/>
      <c r="AJ243" s="91"/>
      <c r="AK243" s="91"/>
      <c r="AL243" s="91"/>
      <c r="AM243" s="91"/>
      <c r="AN243" s="172"/>
      <c r="AP243" s="168"/>
      <c r="AQ243" s="168"/>
      <c r="AR243" s="168"/>
      <c r="AS243" s="12"/>
      <c r="AV243" s="97"/>
      <c r="AW243" s="136"/>
      <c r="BI243" s="65"/>
      <c r="BL243" s="568"/>
      <c r="BN243" s="15"/>
      <c r="BP243" s="52"/>
      <c r="BR243" s="52"/>
      <c r="BS243" s="52"/>
      <c r="BW243" s="554"/>
      <c r="BZ243" s="39">
        <f t="shared" si="241"/>
        <v>0</v>
      </c>
      <c r="CA243" s="51" t="e">
        <f t="shared" si="242"/>
        <v>#DIV/0!</v>
      </c>
      <c r="CC243" s="39"/>
    </row>
    <row r="244" spans="1:81" s="378" customFormat="1" ht="18" customHeight="1">
      <c r="A244" s="378" t="s">
        <v>120</v>
      </c>
      <c r="B244" s="354">
        <f>'FY 2013 by Agency'!B242*Inflator!$E$2</f>
        <v>4357531.2503987243</v>
      </c>
      <c r="C244" s="354">
        <f>'FY 2013 by Agency'!C242*Inflator!$E$3</f>
        <v>4629860.3438948998</v>
      </c>
      <c r="D244" s="379">
        <f t="shared" si="243"/>
        <v>272329.09349617548</v>
      </c>
      <c r="E244" s="365">
        <f t="shared" si="252"/>
        <v>6.2496188288094716E-2</v>
      </c>
      <c r="F244" s="358">
        <f>'FY 2013 by Agency'!F242*Inflator!$E$4</f>
        <v>4618460.1903311759</v>
      </c>
      <c r="G244" s="363">
        <f t="shared" si="244"/>
        <v>-11400.153563723899</v>
      </c>
      <c r="H244" s="366">
        <f t="shared" si="253"/>
        <v>-2.4623104622921404E-3</v>
      </c>
      <c r="I244" s="358">
        <f>'FY 2013 by Agency'!I242*Inflator!$E$5</f>
        <v>4559624.4336184459</v>
      </c>
      <c r="J244" s="363">
        <f t="shared" si="245"/>
        <v>-58835.756712730043</v>
      </c>
      <c r="K244" s="366">
        <f t="shared" si="254"/>
        <v>-1.2739258170050635E-2</v>
      </c>
      <c r="L244" s="358">
        <f>'FY 2013 by Agency'!L242*Inflator!$E$6</f>
        <v>4923763.7593602324</v>
      </c>
      <c r="M244" s="132">
        <f t="shared" si="246"/>
        <v>364139.32574178651</v>
      </c>
      <c r="N244" s="393">
        <f t="shared" si="255"/>
        <v>7.986169278701126E-2</v>
      </c>
      <c r="O244" s="358">
        <f>'FY 2013 by Agency'!O242*Inflator!$E$7</f>
        <v>5321694.9926082361</v>
      </c>
      <c r="P244" s="363">
        <f>O244-L244</f>
        <v>397931.23324800376</v>
      </c>
      <c r="Q244" s="380">
        <f>P244/L244</f>
        <v>8.0818506471096174E-2</v>
      </c>
      <c r="R244" s="107">
        <f>'FY 2013 by Agency'!R242*Inflator!$E$8</f>
        <v>5991292.2376103187</v>
      </c>
      <c r="S244" s="363">
        <f>R244-O244</f>
        <v>669597.24500208255</v>
      </c>
      <c r="T244" s="380">
        <f>S244/O244</f>
        <v>0.12582405529293661</v>
      </c>
      <c r="U244" s="107">
        <f>'FY 2013 by Agency'!U242*Inflator!$E$9</f>
        <v>6185515.9509283816</v>
      </c>
      <c r="V244" s="363">
        <f>U244-R244</f>
        <v>194223.71331806295</v>
      </c>
      <c r="W244" s="380">
        <f>V244/R244</f>
        <v>3.2417666442445287E-2</v>
      </c>
      <c r="X244" s="107">
        <f>'FY 2013 by Agency'!X242*Inflator!$E$10</f>
        <v>6780775.3629723731</v>
      </c>
      <c r="Y244" s="381" t="e">
        <f>+Y222+Y188+Y166+Y133+Y109+Y74+Y41</f>
        <v>#VALUE!</v>
      </c>
      <c r="Z244" s="380" t="e">
        <f>Y244/U244</f>
        <v>#VALUE!</v>
      </c>
      <c r="AA244" s="107">
        <f>'FY 2013 by Agency'!AA242*Inflator!$E$11</f>
        <v>6772920.8792609125</v>
      </c>
      <c r="AB244" s="381">
        <f>AA244-X244</f>
        <v>-7854.4837114606053</v>
      </c>
      <c r="AC244" s="380">
        <f>AB244/X244</f>
        <v>-1.1583459547047387E-3</v>
      </c>
      <c r="AD244" s="132" t="e">
        <f>'FY 2013 by Agency'!AD242*Inflator!#REF!</f>
        <v>#REF!</v>
      </c>
      <c r="AE244" s="381" t="e">
        <f>+AE222+AE188+AE166+AE133+AE109+AE74+AE41</f>
        <v>#VALUE!</v>
      </c>
      <c r="AF244" s="381">
        <f>+AF222+AF188+AF166+AF133+AF109+AF74+AF41</f>
        <v>6199699.9686716804</v>
      </c>
      <c r="AG244" s="363">
        <f t="shared" ref="AG244" si="264">AF244-AA244</f>
        <v>-573220.91058923211</v>
      </c>
      <c r="AH244" s="380">
        <f t="shared" ref="AH244" si="265">AG244/AA244</f>
        <v>-8.4634225145678088E-2</v>
      </c>
      <c r="AI244" s="381">
        <f t="shared" ref="AI244:AT244" si="266">+AI222+AI188+AI166+AI133+AI109+AI74+AI41</f>
        <v>0</v>
      </c>
      <c r="AJ244" s="381">
        <f t="shared" si="266"/>
        <v>0</v>
      </c>
      <c r="AK244" s="381">
        <f t="shared" si="266"/>
        <v>5590843</v>
      </c>
      <c r="AL244" s="381">
        <f t="shared" si="266"/>
        <v>103869</v>
      </c>
      <c r="AM244" s="381">
        <f t="shared" si="266"/>
        <v>5694712</v>
      </c>
      <c r="AN244" s="381">
        <f t="shared" si="266"/>
        <v>5268442</v>
      </c>
      <c r="AO244" s="381">
        <f t="shared" si="266"/>
        <v>6135094</v>
      </c>
      <c r="AP244" s="381">
        <f t="shared" si="266"/>
        <v>102146</v>
      </c>
      <c r="AQ244" s="381">
        <f t="shared" si="266"/>
        <v>9153</v>
      </c>
      <c r="AR244" s="381">
        <f t="shared" si="266"/>
        <v>111299</v>
      </c>
      <c r="AS244" s="381">
        <f t="shared" si="266"/>
        <v>5731913.4014400011</v>
      </c>
      <c r="AT244" s="381" t="e">
        <f t="shared" si="266"/>
        <v>#REF!</v>
      </c>
      <c r="AU244" s="380" t="e">
        <f t="shared" ref="AU244" si="267">AT244/AD244</f>
        <v>#REF!</v>
      </c>
      <c r="AV244" s="363">
        <f t="shared" ref="AV244" si="268">AS244-AF244</f>
        <v>-467786.56723167934</v>
      </c>
      <c r="AW244" s="380">
        <f t="shared" ref="AW244" si="269">AV244/AF244</f>
        <v>-7.5453097665289945E-2</v>
      </c>
      <c r="AX244" s="380"/>
      <c r="AY244" s="382">
        <f>SUM(AY7:AY38)+SUM(AY51:AY73)+SUM(AY85:AY108)+SUM(AY120:AY132)+SUM(AY146:AY163)+SUM(AY179:AY187)+SUM(AY198:AY220)</f>
        <v>6156744.2771899998</v>
      </c>
      <c r="AZ244" s="380"/>
      <c r="BA244" s="380"/>
      <c r="BB244" s="380"/>
      <c r="BC244" s="380"/>
      <c r="BD244" s="382">
        <f>SUM(BD7:BD38)+SUM(BD51:BD73)+SUM(BD85:BD108)+SUM(BD120:BD132)+SUM(BD146:BD163)+SUM(BD179:BD187)</f>
        <v>100238.36499999999</v>
      </c>
      <c r="BE244" s="366"/>
      <c r="BI244" s="383">
        <f>SUM(BI198:BI221)+ SUM(BI179:BI187)+SUM(BI146:BI163)+SUM(BI120:BI131)+SUM(BI85:BI108)+SUM(BI51:BI73)+SUM(BI7:BI40)</f>
        <v>6114792</v>
      </c>
      <c r="BJ244" s="383">
        <f>BI244-AY244</f>
        <v>-41952.277189999819</v>
      </c>
      <c r="BK244" s="383">
        <f>BK222+BK188+BK166+BK133+BK109+BK74+BK41</f>
        <v>6134427.1320000002</v>
      </c>
      <c r="BL244" s="566">
        <f>BL222+BL188+BL166+BL133+BL109+BL74+BL41</f>
        <v>6093256.7889278363</v>
      </c>
      <c r="BM244" s="142">
        <f>'FY 2013 by Agency'!AT242*Inflator!$E$13</f>
        <v>353522.047422314</v>
      </c>
      <c r="BN244" s="305">
        <f t="shared" si="259"/>
        <v>5.7022444506787645E-2</v>
      </c>
      <c r="BO244" s="132">
        <f>'FY 2013 by Agency'!AX242*Inflator!$E$13</f>
        <v>6443116.0927677769</v>
      </c>
      <c r="BP244" s="132">
        <f t="shared" si="247"/>
        <v>243416.12409609649</v>
      </c>
      <c r="BQ244" s="393">
        <f t="shared" si="248"/>
        <v>3.9262565176722532E-2</v>
      </c>
      <c r="BR244" s="132">
        <f>BR41+BR74+BR109+BR133+BR166+BR188+BR222</f>
        <v>6539819.81845327</v>
      </c>
      <c r="BS244" s="132">
        <f t="shared" si="249"/>
        <v>96703.725685493089</v>
      </c>
      <c r="BT244" s="393">
        <f t="shared" si="250"/>
        <v>1.5008844213445168E-2</v>
      </c>
      <c r="BU244" s="142">
        <f>BU222+BU188+BU166+BU133+BU109+BU74+BU41</f>
        <v>6653076.0005971938</v>
      </c>
      <c r="BV244" s="142">
        <f>BU244-BL244</f>
        <v>559819.21166935749</v>
      </c>
      <c r="BW244" s="381">
        <f>BW41+BW74+BW109+BW133+BW166+BW188+BW222</f>
        <v>6748667</v>
      </c>
      <c r="BX244" s="142" t="e">
        <f>BX222+BX188+BX166+BX133+BX109+BX74+BX41</f>
        <v>#REF!</v>
      </c>
      <c r="BY244" s="142">
        <f>BY222+BY188+BY166+BY133+BY109+BY74+BY41</f>
        <v>6740507</v>
      </c>
      <c r="BZ244" s="39">
        <f t="shared" si="241"/>
        <v>208847.18154672999</v>
      </c>
      <c r="CA244" s="51">
        <f t="shared" si="242"/>
        <v>3.1934699631544945E-2</v>
      </c>
      <c r="CC244" s="39"/>
    </row>
    <row r="245" spans="1:81" ht="18" customHeight="1">
      <c r="R245" s="52"/>
      <c r="AM245" s="84"/>
      <c r="AN245" s="172"/>
      <c r="BV245" s="256"/>
      <c r="BZ245" s="39">
        <f t="shared" si="241"/>
        <v>0</v>
      </c>
      <c r="CA245" s="51" t="e">
        <f t="shared" si="242"/>
        <v>#DIV/0!</v>
      </c>
      <c r="CC245" s="243"/>
    </row>
    <row r="246" spans="1:81" ht="18" customHeight="1">
      <c r="AM246" s="84"/>
      <c r="AN246" s="172"/>
      <c r="AW246" s="241"/>
      <c r="BL246" s="39"/>
      <c r="BR246" s="52"/>
    </row>
    <row r="247" spans="1:81" ht="18" customHeight="1">
      <c r="AM247" s="84"/>
      <c r="AN247" s="172"/>
    </row>
    <row r="248" spans="1:81" ht="18" customHeight="1">
      <c r="AM248" s="84"/>
      <c r="AN248" s="172"/>
      <c r="BN248" s="315"/>
      <c r="BZ248" s="220"/>
    </row>
    <row r="249" spans="1:81" ht="18" customHeight="1">
      <c r="AM249" s="84"/>
      <c r="AN249" s="172"/>
      <c r="BX249" s="52"/>
      <c r="BY249" s="52"/>
      <c r="BZ249" s="51"/>
    </row>
    <row r="250" spans="1:81" ht="18" customHeight="1">
      <c r="AM250" s="84"/>
      <c r="AN250" s="172"/>
    </row>
    <row r="251" spans="1:81" ht="18" customHeight="1">
      <c r="AM251" s="84"/>
      <c r="AN251" s="172"/>
    </row>
    <row r="252" spans="1:81" ht="18" customHeight="1">
      <c r="AM252" s="84"/>
      <c r="AN252" s="172"/>
    </row>
    <row r="253" spans="1:81" ht="18" customHeight="1">
      <c r="AM253" s="84"/>
      <c r="AN253" s="172"/>
    </row>
    <row r="254" spans="1:81" ht="18" customHeight="1">
      <c r="AM254" s="84"/>
      <c r="AN254" s="172"/>
    </row>
  </sheetData>
  <customSheetViews>
    <customSheetView guid="{7A9890A5-7CC2-466F-AA52-39E8D428DC1C}" scale="85" hiddenRows="1" hiddenColumns="1" topLeftCell="A4">
      <pane xSplit="1" topLeftCell="B1" activePane="topRight" state="frozen"/>
      <selection pane="topRight" activeCell="A5" sqref="A5"/>
      <pageMargins left="0.75" right="0.75" top="1" bottom="1" header="0.5" footer="0.5"/>
      <pageSetup paperSize="5" orientation="landscape" r:id="rId1"/>
      <headerFooter alignWithMargins="0"/>
    </customSheetView>
    <customSheetView guid="{567C3053-2D8E-4705-8DC7-18896C5303CA}" scale="85" showPageBreaks="1" hiddenRows="1" hiddenColumns="1" topLeftCell="A218">
      <pane xSplit="1" topLeftCell="BW1" activePane="topRight" state="frozen"/>
      <selection pane="topRight" activeCell="BY246" sqref="BY246"/>
      <pageMargins left="0.75" right="0.75" top="1" bottom="1" header="0.5" footer="0.5"/>
      <pageSetup paperSize="5" orientation="landscape" r:id="rId2"/>
      <headerFooter alignWithMargins="0"/>
    </customSheetView>
    <customSheetView guid="{AEFEB150-9213-45F5-A178-7AC71E46DB11}" scale="85" hiddenRows="1" hiddenColumns="1" topLeftCell="A4">
      <pane xSplit="1" ySplit="2" topLeftCell="BZ178" activePane="bottomRight" state="frozen"/>
      <selection pane="bottomRight" activeCell="CA203" sqref="CA203"/>
      <pageMargins left="0.75" right="0.75" top="1" bottom="1" header="0.5" footer="0.5"/>
      <pageSetup paperSize="5" orientation="landscape" r:id="rId3"/>
      <headerFooter alignWithMargins="0"/>
    </customSheetView>
    <customSheetView guid="{E81D05A4-5B21-42D3-A8D3-906ABCABC0F4}" scale="80" hiddenRows="1" hiddenColumns="1" topLeftCell="A4">
      <pane xSplit="1" ySplit="2" topLeftCell="BX81" activePane="bottomRight" state="frozen"/>
      <selection pane="bottomRight" activeCell="BX89" sqref="BX89"/>
      <pageMargins left="0.75" right="0.75" top="1" bottom="1" header="0.5" footer="0.5"/>
      <pageSetup paperSize="5" orientation="landscape" r:id="rId4"/>
      <headerFooter alignWithMargins="0"/>
    </customSheetView>
    <customSheetView guid="{A2518DB3-3A80-4035-9307-EC50A7C923F2}" scale="80" hiddenRows="1" hiddenColumns="1" topLeftCell="A4">
      <pane xSplit="1" ySplit="2" topLeftCell="BN27" activePane="bottomRight" state="frozen"/>
      <selection pane="bottomRight" activeCell="BX39" sqref="BX39"/>
      <pageMargins left="0.75" right="0.75" top="1" bottom="1" header="0.5" footer="0.5"/>
      <pageSetup paperSize="5" orientation="landscape" r:id="rId5"/>
      <headerFooter alignWithMargins="0"/>
    </customSheetView>
    <customSheetView guid="{50528D02-548E-47E0-94D7-D1E79CD3569C}" scale="80" hiddenRows="1" hiddenColumns="1" topLeftCell="A4">
      <pane xSplit="1" ySplit="2" topLeftCell="BN27" activePane="bottomRight" state="frozen"/>
      <selection pane="bottomRight" activeCell="BX39" sqref="BX39"/>
      <pageMargins left="0.75" right="0.75" top="1" bottom="1" header="0.5" footer="0.5"/>
      <pageSetup paperSize="5" orientation="landscape" r:id="rId6"/>
      <headerFooter alignWithMargins="0"/>
    </customSheetView>
    <customSheetView guid="{E44F5FE1-54FC-4AB3-84F9-7D65ACF2DDE7}" scale="85" hiddenRows="1" hiddenColumns="1" topLeftCell="A4">
      <pane xSplit="1" ySplit="5" topLeftCell="AF47" activePane="bottomRight" state="frozen"/>
      <selection pane="bottomRight" activeCell="BL55" sqref="BL55"/>
      <pageMargins left="0.75" right="0.75" top="1" bottom="1" header="0.5" footer="0.5"/>
      <pageSetup paperSize="5" orientation="landscape" r:id="rId7"/>
      <headerFooter alignWithMargins="0"/>
    </customSheetView>
    <customSheetView guid="{94DA13B6-7351-40F3-8CF7-A4211EC439DA}" scale="85" hiddenRows="1" hiddenColumns="1" topLeftCell="A3">
      <pane xSplit="1" ySplit="5" topLeftCell="AU189" activePane="bottomRight" state="frozen"/>
      <selection pane="bottomRight" activeCell="AY196" sqref="AY196"/>
      <pageMargins left="0.75" right="0.75" top="1" bottom="1" header="0.5" footer="0.5"/>
      <pageSetup paperSize="5" orientation="landscape" r:id="rId8"/>
      <headerFooter alignWithMargins="0"/>
    </customSheetView>
    <customSheetView guid="{8F508F4D-4777-42BE-9707-8CB9355F7BDB}" scale="85" hiddenRows="1" hiddenColumns="1" topLeftCell="A4">
      <pane xSplit="1" ySplit="5" topLeftCell="AN83" activePane="bottomRight" state="frozen"/>
      <selection pane="bottomRight" activeCell="AR39" sqref="AR39"/>
      <pageMargins left="0.75" right="0.75" top="1" bottom="1" header="0.5" footer="0.5"/>
      <pageSetup paperSize="5" orientation="landscape" r:id="rId9"/>
      <headerFooter alignWithMargins="0"/>
    </customSheetView>
    <customSheetView guid="{F784130D-F647-4ABA-8943-C79CA5B0FDC4}" scale="85" hiddenRows="1" hiddenColumns="1" topLeftCell="A4">
      <pane xSplit="1" ySplit="5" topLeftCell="BT17" activePane="bottomRight" state="frozen"/>
      <selection pane="bottomRight" activeCell="BT25" sqref="BT25"/>
      <pageMargins left="0.75" right="0.75" top="1" bottom="1" header="0.5" footer="0.5"/>
      <pageSetup paperSize="5" orientation="landscape" r:id="rId10"/>
      <headerFooter alignWithMargins="0"/>
    </customSheetView>
    <customSheetView guid="{1E5198E1-BA46-4CE0-8628-4F695B0D7A3B}" scale="85" hiddenRows="1" topLeftCell="A4">
      <pane xSplit="1" ySplit="5" topLeftCell="BJ108" activePane="bottomRight" state="frozen"/>
      <selection pane="bottomRight" activeCell="BU127" sqref="BU127"/>
      <pageMargins left="0.75" right="0.75" top="1" bottom="1" header="0.5" footer="0.5"/>
      <pageSetup paperSize="5" orientation="landscape" r:id="rId11"/>
      <headerFooter alignWithMargins="0"/>
    </customSheetView>
    <customSheetView guid="{455630F5-40FC-47DB-8AD4-712C20B8FB91}" scale="80" hiddenRows="1" hiddenColumns="1" topLeftCell="A4">
      <pane xSplit="1" ySplit="2" topLeftCell="BN12" activePane="bottomRight" state="frozen"/>
      <selection pane="bottomRight" activeCell="BX7" sqref="BX7"/>
      <pageMargins left="0.75" right="0.75" top="1" bottom="1" header="0.5" footer="0.5"/>
      <pageSetup paperSize="5" orientation="landscape" r:id="rId12"/>
      <headerFooter alignWithMargins="0"/>
    </customSheetView>
    <customSheetView guid="{78CA186D-B240-44D5-8A24-D241DE0B0FD9}" scale="80" hiddenRows="1" hiddenColumns="1" topLeftCell="A4">
      <pane xSplit="1" ySplit="2" topLeftCell="BP54" activePane="bottomRight" state="frozen"/>
      <selection pane="bottomRight" activeCell="CB61" sqref="CB61"/>
      <pageMargins left="0.75" right="0.75" top="1" bottom="1" header="0.5" footer="0.5"/>
      <pageSetup paperSize="5" orientation="landscape" r:id="rId13"/>
      <headerFooter alignWithMargins="0"/>
    </customSheetView>
    <customSheetView guid="{9D4F0482-B164-4671-805A-E0D2D4DD4720}" scale="85" hiddenRows="1" hiddenColumns="1" topLeftCell="A4">
      <pane xSplit="1" ySplit="5" topLeftCell="BQ51" activePane="bottomRight" state="frozen"/>
      <selection pane="bottomRight" activeCell="A58" sqref="A58:XFD58"/>
      <pageMargins left="0.75" right="0.75" top="1" bottom="1" header="0.5" footer="0.5"/>
      <pageSetup paperSize="5" orientation="landscape" r:id="rId14"/>
      <headerFooter alignWithMargins="0"/>
    </customSheetView>
  </customSheetViews>
  <mergeCells count="6">
    <mergeCell ref="AA4:AA5"/>
    <mergeCell ref="M4:N4"/>
    <mergeCell ref="P4:Q4"/>
    <mergeCell ref="S4:T4"/>
    <mergeCell ref="V4:W4"/>
    <mergeCell ref="Y4:Z4"/>
  </mergeCells>
  <pageMargins left="0.75" right="0.75" top="1" bottom="1" header="0.5" footer="0.5"/>
  <pageSetup paperSize="5" orientation="landscape" r:id="rId15"/>
  <headerFooter alignWithMargins="0"/>
  <legacyDrawing r:id="rId16"/>
</worksheet>
</file>

<file path=xl/worksheets/sheet6.xml><?xml version="1.0" encoding="utf-8"?>
<worksheet xmlns="http://schemas.openxmlformats.org/spreadsheetml/2006/main" xmlns:r="http://schemas.openxmlformats.org/officeDocument/2006/relationships">
  <dimension ref="A1:H15"/>
  <sheetViews>
    <sheetView workbookViewId="0">
      <selection activeCell="F12" sqref="F12"/>
    </sheetView>
  </sheetViews>
  <sheetFormatPr defaultRowHeight="12.5"/>
  <cols>
    <col min="1" max="1" width="11" bestFit="1" customWidth="1"/>
    <col min="2" max="2" width="11.7265625" customWidth="1"/>
    <col min="4" max="4" width="12.453125" customWidth="1"/>
  </cols>
  <sheetData>
    <row r="1" spans="1:8" ht="13">
      <c r="A1" s="13"/>
      <c r="B1" s="13"/>
      <c r="D1" t="s">
        <v>221</v>
      </c>
      <c r="E1" t="s">
        <v>115</v>
      </c>
      <c r="H1" s="257"/>
    </row>
    <row r="2" spans="1:8">
      <c r="D2">
        <v>2000</v>
      </c>
      <c r="E2">
        <f>339.8/250.8</f>
        <v>1.3548644338118023</v>
      </c>
    </row>
    <row r="3" spans="1:8">
      <c r="D3">
        <v>2001</v>
      </c>
      <c r="E3">
        <f>339.8/258.8</f>
        <v>1.312982998454405</v>
      </c>
    </row>
    <row r="4" spans="1:8">
      <c r="D4">
        <v>2002</v>
      </c>
      <c r="E4">
        <f>339.8/262.7</f>
        <v>1.2934906737723639</v>
      </c>
    </row>
    <row r="5" spans="1:8">
      <c r="D5">
        <v>2003</v>
      </c>
      <c r="E5">
        <f>339.8/268.9</f>
        <v>1.2636667906284866</v>
      </c>
    </row>
    <row r="6" spans="1:8">
      <c r="D6">
        <v>2004</v>
      </c>
      <c r="E6">
        <f>339.8/275.1</f>
        <v>1.2351872046528534</v>
      </c>
    </row>
    <row r="7" spans="1:8">
      <c r="D7">
        <v>2005</v>
      </c>
      <c r="E7">
        <f>339.8/284.1</f>
        <v>1.196057726152763</v>
      </c>
    </row>
    <row r="8" spans="1:8">
      <c r="D8">
        <v>2006</v>
      </c>
      <c r="E8">
        <f>339.8/294.6</f>
        <v>1.1534283774609639</v>
      </c>
    </row>
    <row r="9" spans="1:8">
      <c r="D9">
        <v>2007</v>
      </c>
      <c r="E9">
        <f>339.8/301.6</f>
        <v>1.1266578249336869</v>
      </c>
    </row>
    <row r="10" spans="1:8">
      <c r="D10">
        <v>2008</v>
      </c>
      <c r="E10">
        <f>339.8/314.9</f>
        <v>1.0790727214988887</v>
      </c>
    </row>
    <row r="11" spans="1:8">
      <c r="D11">
        <v>2009</v>
      </c>
      <c r="E11">
        <f>339.8/313.9</f>
        <v>1.0825103536158014</v>
      </c>
    </row>
    <row r="12" spans="1:8">
      <c r="D12">
        <v>2010</v>
      </c>
      <c r="E12">
        <f>339.8/319.2</f>
        <v>1.0645363408521304</v>
      </c>
    </row>
    <row r="13" spans="1:8">
      <c r="D13">
        <v>2011</v>
      </c>
      <c r="E13">
        <f>339.8/327.7</f>
        <v>1.0369240158681723</v>
      </c>
    </row>
    <row r="14" spans="1:8">
      <c r="D14">
        <v>2012</v>
      </c>
      <c r="E14" s="257">
        <f>339.8/334.9</f>
        <v>1.0146312332039416</v>
      </c>
    </row>
    <row r="15" spans="1:8">
      <c r="D15">
        <v>2013</v>
      </c>
      <c r="E15">
        <f>339.8/339.8</f>
        <v>1</v>
      </c>
    </row>
  </sheetData>
  <customSheetViews>
    <customSheetView guid="{7A9890A5-7CC2-466F-AA52-39E8D428DC1C}">
      <selection activeCell="A12" sqref="A12"/>
      <pageMargins left="0.75" right="0.75" top="1" bottom="1" header="0.5" footer="0.5"/>
      <pageSetup orientation="portrait" r:id="rId1"/>
      <headerFooter alignWithMargins="0"/>
    </customSheetView>
    <customSheetView guid="{567C3053-2D8E-4705-8DC7-18896C5303CA}" showPageBreaks="1">
      <selection activeCell="F12" sqref="F12"/>
      <pageMargins left="0.75" right="0.75" top="1" bottom="1" header="0.5" footer="0.5"/>
      <pageSetup orientation="portrait" r:id="rId2"/>
      <headerFooter alignWithMargins="0"/>
    </customSheetView>
    <customSheetView guid="{AEFEB150-9213-45F5-A178-7AC71E46DB11}">
      <selection activeCell="L30" sqref="L30"/>
      <pageMargins left="0.75" right="0.75" top="1" bottom="1" header="0.5" footer="0.5"/>
      <pageSetup orientation="portrait" r:id="rId3"/>
      <headerFooter alignWithMargins="0"/>
    </customSheetView>
    <customSheetView guid="{E81D05A4-5B21-42D3-A8D3-906ABCABC0F4}">
      <selection activeCell="E15" sqref="E15"/>
      <pageMargins left="0.75" right="0.75" top="1" bottom="1" header="0.5" footer="0.5"/>
      <pageSetup orientation="portrait" r:id="rId4"/>
      <headerFooter alignWithMargins="0"/>
    </customSheetView>
    <customSheetView guid="{A2518DB3-3A80-4035-9307-EC50A7C923F2}">
      <selection activeCell="E15" sqref="E15"/>
      <pageMargins left="0.75" right="0.75" top="1" bottom="1" header="0.5" footer="0.5"/>
      <pageSetup orientation="portrait" r:id="rId5"/>
      <headerFooter alignWithMargins="0"/>
    </customSheetView>
    <customSheetView guid="{50528D02-548E-47E0-94D7-D1E79CD3569C}">
      <selection activeCell="E15" sqref="E15"/>
      <pageMargins left="0.75" right="0.75" top="1" bottom="1" header="0.5" footer="0.5"/>
      <pageSetup orientation="portrait" r:id="rId6"/>
      <headerFooter alignWithMargins="0"/>
    </customSheetView>
    <customSheetView guid="{E44F5FE1-54FC-4AB3-84F9-7D65ACF2DDE7}">
      <selection activeCell="F12" sqref="F12"/>
      <pageMargins left="0.75" right="0.75" top="1" bottom="1" header="0.5" footer="0.5"/>
      <pageSetup orientation="portrait" r:id="rId7"/>
      <headerFooter alignWithMargins="0"/>
    </customSheetView>
    <customSheetView guid="{94DA13B6-7351-40F3-8CF7-A4211EC439DA}">
      <selection activeCell="F12" sqref="F12"/>
      <pageMargins left="0.75" right="0.75" top="1" bottom="1" header="0.5" footer="0.5"/>
      <pageSetup orientation="portrait" r:id="rId8"/>
      <headerFooter alignWithMargins="0"/>
    </customSheetView>
    <customSheetView guid="{8F508F4D-4777-42BE-9707-8CB9355F7BDB}">
      <selection activeCell="F12" sqref="F12"/>
      <pageMargins left="0.75" right="0.75" top="1" bottom="1" header="0.5" footer="0.5"/>
      <pageSetup orientation="portrait" r:id="rId9"/>
      <headerFooter alignWithMargins="0"/>
    </customSheetView>
    <customSheetView guid="{F784130D-F647-4ABA-8943-C79CA5B0FDC4}">
      <selection activeCell="F23" sqref="F23"/>
      <pageMargins left="0.75" right="0.75" top="1" bottom="1" header="0.5" footer="0.5"/>
      <pageSetup orientation="portrait" r:id="rId10"/>
      <headerFooter alignWithMargins="0"/>
    </customSheetView>
    <customSheetView guid="{1E5198E1-BA46-4CE0-8628-4F695B0D7A3B}">
      <selection activeCell="F12" sqref="F12"/>
      <pageMargins left="0.75" right="0.75" top="1" bottom="1" header="0.5" footer="0.5"/>
      <pageSetup orientation="portrait" r:id="rId11"/>
      <headerFooter alignWithMargins="0"/>
    </customSheetView>
    <customSheetView guid="{455630F5-40FC-47DB-8AD4-712C20B8FB91}">
      <selection activeCell="E15" sqref="E15"/>
      <pageMargins left="0.75" right="0.75" top="1" bottom="1" header="0.5" footer="0.5"/>
      <pageSetup orientation="portrait" r:id="rId12"/>
      <headerFooter alignWithMargins="0"/>
    </customSheetView>
    <customSheetView guid="{78CA186D-B240-44D5-8A24-D241DE0B0FD9}">
      <selection activeCell="E14" sqref="E14"/>
      <pageMargins left="0.75" right="0.75" top="1" bottom="1" header="0.5" footer="0.5"/>
      <pageSetup orientation="portrait" r:id="rId13"/>
      <headerFooter alignWithMargins="0"/>
    </customSheetView>
    <customSheetView guid="{9D4F0482-B164-4671-805A-E0D2D4DD4720}">
      <selection activeCell="A2" sqref="A2"/>
      <pageMargins left="0.75" right="0.75" top="1" bottom="1" header="0.5" footer="0.5"/>
      <pageSetup orientation="portrait" r:id="rId14"/>
      <headerFooter alignWithMargins="0"/>
    </customSheetView>
  </customSheetViews>
  <phoneticPr fontId="8" type="noConversion"/>
  <pageMargins left="0.75" right="0.75" top="1" bottom="1" header="0.5" footer="0.5"/>
  <pageSetup orientation="portrait" r:id="rId15"/>
  <headerFooter alignWithMargins="0"/>
</worksheet>
</file>

<file path=xl/worksheets/sheet7.xml><?xml version="1.0" encoding="utf-8"?>
<worksheet xmlns="http://schemas.openxmlformats.org/spreadsheetml/2006/main" xmlns:r="http://schemas.openxmlformats.org/officeDocument/2006/relationships">
  <dimension ref="A2:H60"/>
  <sheetViews>
    <sheetView workbookViewId="0">
      <selection activeCell="B59" sqref="B59"/>
    </sheetView>
  </sheetViews>
  <sheetFormatPr defaultRowHeight="12.5"/>
  <cols>
    <col min="1" max="1" width="10.81640625" customWidth="1"/>
  </cols>
  <sheetData>
    <row r="2" spans="1:8">
      <c r="A2" s="220"/>
    </row>
    <row r="3" spans="1:8">
      <c r="A3" s="220"/>
    </row>
    <row r="4" spans="1:8">
      <c r="A4" s="220"/>
    </row>
    <row r="6" spans="1:8" ht="13">
      <c r="A6" s="83"/>
      <c r="H6" s="220"/>
    </row>
    <row r="7" spans="1:8">
      <c r="A7" s="220"/>
    </row>
    <row r="8" spans="1:8">
      <c r="A8" s="220"/>
    </row>
    <row r="9" spans="1:8">
      <c r="A9" s="220"/>
    </row>
    <row r="10" spans="1:8">
      <c r="A10" s="220"/>
    </row>
    <row r="11" spans="1:8">
      <c r="A11" s="220"/>
    </row>
    <row r="13" spans="1:8" ht="13">
      <c r="A13" s="13"/>
    </row>
    <row r="14" spans="1:8">
      <c r="A14" s="220"/>
    </row>
    <row r="15" spans="1:8" ht="13">
      <c r="A15" s="13"/>
    </row>
    <row r="16" spans="1:8">
      <c r="A16" s="220"/>
    </row>
    <row r="17" spans="1:1">
      <c r="A17" s="220"/>
    </row>
    <row r="18" spans="1:1">
      <c r="A18" s="220"/>
    </row>
    <row r="19" spans="1:1" ht="13">
      <c r="A19" s="83"/>
    </row>
    <row r="21" spans="1:1" ht="13">
      <c r="A21" s="83"/>
    </row>
    <row r="22" spans="1:1">
      <c r="A22" s="220"/>
    </row>
    <row r="23" spans="1:1">
      <c r="A23" s="220"/>
    </row>
    <row r="24" spans="1:1" ht="13">
      <c r="A24" s="13"/>
    </row>
    <row r="25" spans="1:1" ht="13">
      <c r="A25" s="83"/>
    </row>
    <row r="26" spans="1:1">
      <c r="A26" s="220"/>
    </row>
    <row r="27" spans="1:1">
      <c r="A27" s="220"/>
    </row>
    <row r="28" spans="1:1">
      <c r="A28" s="220"/>
    </row>
    <row r="29" spans="1:1">
      <c r="A29" s="220"/>
    </row>
    <row r="30" spans="1:1" ht="13">
      <c r="A30" s="83"/>
    </row>
    <row r="31" spans="1:1">
      <c r="A31" s="220"/>
    </row>
    <row r="32" spans="1:1">
      <c r="A32" s="220"/>
    </row>
    <row r="33" spans="1:6">
      <c r="A33" s="220"/>
    </row>
    <row r="34" spans="1:6">
      <c r="A34" s="220"/>
    </row>
    <row r="35" spans="1:6" ht="13">
      <c r="A35" s="83"/>
    </row>
    <row r="38" spans="1:6" ht="13">
      <c r="A38" s="83"/>
    </row>
    <row r="41" spans="1:6">
      <c r="A41" s="220"/>
    </row>
    <row r="42" spans="1:6">
      <c r="A42" s="220"/>
      <c r="B42" s="27"/>
      <c r="C42" s="27"/>
      <c r="D42" s="27"/>
    </row>
    <row r="43" spans="1:6">
      <c r="A43" s="220"/>
      <c r="B43" s="27"/>
      <c r="D43" s="27"/>
    </row>
    <row r="44" spans="1:6">
      <c r="A44" s="220"/>
      <c r="B44" s="27"/>
      <c r="D44" s="27"/>
    </row>
    <row r="45" spans="1:6">
      <c r="A45" s="220"/>
      <c r="B45" s="27"/>
      <c r="C45" s="27"/>
      <c r="F45" s="100"/>
    </row>
    <row r="46" spans="1:6">
      <c r="A46" s="220"/>
      <c r="F46" s="100"/>
    </row>
    <row r="47" spans="1:6">
      <c r="A47" s="220"/>
      <c r="F47" s="100"/>
    </row>
    <row r="48" spans="1:6">
      <c r="A48" s="220"/>
      <c r="F48" s="100"/>
    </row>
    <row r="49" spans="1:6">
      <c r="A49" s="220"/>
      <c r="F49" s="100"/>
    </row>
    <row r="50" spans="1:6">
      <c r="A50" s="220"/>
      <c r="F50" s="100"/>
    </row>
    <row r="51" spans="1:6">
      <c r="A51" s="220"/>
      <c r="F51" s="100"/>
    </row>
    <row r="52" spans="1:6">
      <c r="A52" s="220"/>
    </row>
    <row r="53" spans="1:6">
      <c r="A53" s="220"/>
      <c r="B53" s="27"/>
      <c r="C53" s="27"/>
    </row>
    <row r="54" spans="1:6">
      <c r="A54" s="220"/>
      <c r="B54" s="27"/>
    </row>
    <row r="55" spans="1:6">
      <c r="A55" s="220"/>
      <c r="B55" s="27"/>
    </row>
    <row r="56" spans="1:6">
      <c r="B56" s="27"/>
      <c r="C56" s="27"/>
    </row>
    <row r="57" spans="1:6">
      <c r="B57" s="27"/>
    </row>
    <row r="59" spans="1:6">
      <c r="B59" s="27"/>
    </row>
    <row r="60" spans="1:6">
      <c r="B60" s="27"/>
    </row>
  </sheetData>
  <customSheetViews>
    <customSheetView guid="{7A9890A5-7CC2-466F-AA52-39E8D428DC1C}" state="hidden">
      <selection activeCell="B59" sqref="B59"/>
      <pageMargins left="0.7" right="0.7" top="0.75" bottom="0.75" header="0.3" footer="0.3"/>
      <pageSetup orientation="portrait" r:id="rId1"/>
    </customSheetView>
    <customSheetView guid="{567C3053-2D8E-4705-8DC7-18896C5303CA}" showPageBreaks="1" state="hidden">
      <selection activeCell="B59" sqref="B59"/>
      <pageMargins left="0.7" right="0.7" top="0.75" bottom="0.75" header="0.3" footer="0.3"/>
      <pageSetup orientation="portrait" r:id="rId2"/>
    </customSheetView>
    <customSheetView guid="{AEFEB150-9213-45F5-A178-7AC71E46DB11}">
      <selection activeCell="B59" sqref="B59"/>
      <pageMargins left="0.7" right="0.7" top="0.75" bottom="0.75" header="0.3" footer="0.3"/>
      <pageSetup paperSize="0" orientation="portrait" r:id="rId3"/>
    </customSheetView>
    <customSheetView guid="{E81D05A4-5B21-42D3-A8D3-906ABCABC0F4}" topLeftCell="A41">
      <selection activeCell="C49" sqref="C49"/>
      <pageMargins left="0.7" right="0.7" top="0.75" bottom="0.75" header="0.3" footer="0.3"/>
      <pageSetup orientation="portrait" r:id="rId4"/>
    </customSheetView>
    <customSheetView guid="{A2518DB3-3A80-4035-9307-EC50A7C923F2}">
      <selection activeCell="B59" sqref="B59"/>
      <pageMargins left="0.7" right="0.7" top="0.75" bottom="0.75" header="0.3" footer="0.3"/>
      <pageSetup orientation="portrait" r:id="rId5"/>
    </customSheetView>
    <customSheetView guid="{50528D02-548E-47E0-94D7-D1E79CD3569C}">
      <selection activeCell="B59" sqref="B59"/>
      <pageMargins left="0.7" right="0.7" top="0.75" bottom="0.75" header="0.3" footer="0.3"/>
      <pageSetup orientation="portrait" r:id="rId6"/>
    </customSheetView>
    <customSheetView guid="{E44F5FE1-54FC-4AB3-84F9-7D65ACF2DDE7}" topLeftCell="A28">
      <selection activeCell="K49" sqref="K49"/>
      <pageMargins left="0.7" right="0.7" top="0.75" bottom="0.75" header="0.3" footer="0.3"/>
      <pageSetup orientation="portrait" r:id="rId7"/>
    </customSheetView>
    <customSheetView guid="{F784130D-F647-4ABA-8943-C79CA5B0FDC4}">
      <selection activeCell="D15" sqref="B8:D15"/>
      <pageMargins left="0.7" right="0.7" top="0.75" bottom="0.75" header="0.3" footer="0.3"/>
    </customSheetView>
    <customSheetView guid="{1E5198E1-BA46-4CE0-8628-4F695B0D7A3B}">
      <selection activeCell="A14" sqref="A14:XFD14"/>
      <pageMargins left="0.7" right="0.7" top="0.75" bottom="0.75" header="0.3" footer="0.3"/>
    </customSheetView>
    <customSheetView guid="{455630F5-40FC-47DB-8AD4-712C20B8FB91}">
      <selection activeCell="B59" sqref="B59"/>
      <pageMargins left="0.7" right="0.7" top="0.75" bottom="0.75" header="0.3" footer="0.3"/>
      <pageSetup orientation="portrait" r:id="rId8"/>
    </customSheetView>
    <customSheetView guid="{78CA186D-B240-44D5-8A24-D241DE0B0FD9}" topLeftCell="A41">
      <selection activeCell="C49" sqref="C49"/>
      <pageMargins left="0.7" right="0.7" top="0.75" bottom="0.75" header="0.3" footer="0.3"/>
      <pageSetup orientation="portrait" r:id="rId9"/>
    </customSheetView>
    <customSheetView guid="{9D4F0482-B164-4671-805A-E0D2D4DD4720}">
      <selection activeCell="A53" sqref="A53:XFD53"/>
      <pageMargins left="0.7" right="0.7" top="0.75" bottom="0.75" header="0.3" footer="0.3"/>
    </customSheetView>
  </customSheetViews>
  <pageMargins left="0.7" right="0.7" top="0.75" bottom="0.75" header="0.3" footer="0.3"/>
  <pageSetup orientation="portrait" r:id="rId10"/>
</worksheet>
</file>

<file path=xl/worksheets/sheet8.xml><?xml version="1.0" encoding="utf-8"?>
<worksheet xmlns="http://schemas.openxmlformats.org/spreadsheetml/2006/main" xmlns:r="http://schemas.openxmlformats.org/officeDocument/2006/relationships">
  <dimension ref="A2:G20"/>
  <sheetViews>
    <sheetView topLeftCell="A16" workbookViewId="0">
      <selection activeCell="E20" sqref="E20"/>
    </sheetView>
  </sheetViews>
  <sheetFormatPr defaultRowHeight="12.5"/>
  <sheetData>
    <row r="2" spans="1:7" ht="14.5">
      <c r="A2" s="653" t="s">
        <v>451</v>
      </c>
    </row>
    <row r="3" spans="1:7" ht="14.5">
      <c r="A3" s="656" t="s">
        <v>452</v>
      </c>
    </row>
    <row r="4" spans="1:7" ht="14.5">
      <c r="A4" s="654" t="s">
        <v>445</v>
      </c>
    </row>
    <row r="5" spans="1:7" ht="14.5">
      <c r="A5" s="654" t="s">
        <v>446</v>
      </c>
    </row>
    <row r="6" spans="1:7" ht="14.5">
      <c r="A6" s="654" t="s">
        <v>447</v>
      </c>
      <c r="C6" s="615"/>
      <c r="D6" s="615"/>
      <c r="E6" s="615"/>
      <c r="F6" s="615"/>
      <c r="G6" s="615"/>
    </row>
    <row r="7" spans="1:7" ht="14.5">
      <c r="A7" s="654" t="s">
        <v>448</v>
      </c>
    </row>
    <row r="8" spans="1:7" ht="14.5">
      <c r="A8" s="653" t="s">
        <v>460</v>
      </c>
    </row>
    <row r="9" spans="1:7" ht="14.5">
      <c r="A9" s="654" t="s">
        <v>453</v>
      </c>
    </row>
    <row r="10" spans="1:7" ht="14.5">
      <c r="A10" s="654" t="s">
        <v>454</v>
      </c>
    </row>
    <row r="11" spans="1:7" ht="14.5">
      <c r="A11" s="656"/>
    </row>
    <row r="12" spans="1:7" ht="13">
      <c r="A12" s="13" t="s">
        <v>458</v>
      </c>
    </row>
    <row r="13" spans="1:7">
      <c r="A13" s="220" t="s">
        <v>461</v>
      </c>
    </row>
    <row r="14" spans="1:7" ht="13">
      <c r="A14" s="13" t="s">
        <v>462</v>
      </c>
    </row>
    <row r="15" spans="1:7">
      <c r="A15" s="220" t="s">
        <v>463</v>
      </c>
    </row>
    <row r="17" spans="1:1" ht="13">
      <c r="A17" s="13" t="s">
        <v>468</v>
      </c>
    </row>
    <row r="18" spans="1:1">
      <c r="A18" s="245" t="s">
        <v>469</v>
      </c>
    </row>
    <row r="19" spans="1:1" ht="13">
      <c r="A19" s="13" t="s">
        <v>462</v>
      </c>
    </row>
    <row r="20" spans="1:1">
      <c r="A20" s="220" t="s">
        <v>470</v>
      </c>
    </row>
  </sheetData>
  <customSheetViews>
    <customSheetView guid="{7A9890A5-7CC2-466F-AA52-39E8D428DC1C}" topLeftCell="A16">
      <selection activeCell="E20" sqref="E20"/>
      <pageMargins left="0.7" right="0.7" top="0.75" bottom="0.75" header="0.3" footer="0.3"/>
      <pageSetup orientation="portrait" r:id="rId1"/>
    </customSheetView>
    <customSheetView guid="{567C3053-2D8E-4705-8DC7-18896C5303CA}" topLeftCell="A16">
      <selection activeCell="E20" sqref="E20"/>
      <pageMargins left="0.7" right="0.7" top="0.75" bottom="0.75" header="0.3" footer="0.3"/>
      <pageSetup orientation="portrait" r:id="rId2"/>
    </customSheetView>
    <customSheetView guid="{AEFEB150-9213-45F5-A178-7AC71E46DB11}">
      <selection activeCell="F28" sqref="F28"/>
      <pageMargins left="0.7" right="0.7" top="0.75" bottom="0.75" header="0.3" footer="0.3"/>
      <pageSetup orientation="portrait" r:id="rId3"/>
    </customSheetView>
    <customSheetView guid="{E81D05A4-5B21-42D3-A8D3-906ABCABC0F4}">
      <selection activeCell="E20" sqref="E20"/>
      <pageMargins left="0.7" right="0.7" top="0.75" bottom="0.75" header="0.3" footer="0.3"/>
      <pageSetup orientation="portrait" r:id="rId4"/>
    </customSheetView>
    <customSheetView guid="{A2518DB3-3A80-4035-9307-EC50A7C923F2}">
      <selection activeCell="E20" sqref="E20"/>
      <pageMargins left="0.7" right="0.7" top="0.75" bottom="0.75" header="0.3" footer="0.3"/>
      <pageSetup orientation="portrait" r:id="rId5"/>
    </customSheetView>
    <customSheetView guid="{50528D02-548E-47E0-94D7-D1E79CD3569C}">
      <selection activeCell="E20" sqref="E20"/>
      <pageMargins left="0.7" right="0.7" top="0.75" bottom="0.75" header="0.3" footer="0.3"/>
      <pageSetup orientation="portrait" r:id="rId6"/>
    </customSheetView>
    <customSheetView guid="{455630F5-40FC-47DB-8AD4-712C20B8FB91}">
      <selection activeCell="E20" sqref="E20"/>
      <pageMargins left="0.7" right="0.7" top="0.75" bottom="0.75" header="0.3" footer="0.3"/>
      <pageSetup orientation="portrait" r:id="rId7"/>
    </customSheetView>
    <customSheetView guid="{78CA186D-B240-44D5-8A24-D241DE0B0FD9}">
      <selection activeCell="E20" sqref="E20"/>
      <pageMargins left="0.7" right="0.7" top="0.75" bottom="0.75" header="0.3" footer="0.3"/>
      <pageSetup orientation="portrait" r:id="rId8"/>
    </customSheetView>
    <customSheetView guid="{9D4F0482-B164-4671-805A-E0D2D4DD4720}">
      <selection activeCell="E20" sqref="E20"/>
      <pageMargins left="0.7" right="0.7" top="0.75" bottom="0.75" header="0.3" footer="0.3"/>
      <pageSetup orientation="portrait" r:id="rId9"/>
    </customSheetView>
  </customSheetViews>
  <pageMargins left="0.7" right="0.7" top="0.75" bottom="0.75" header="0.3" footer="0.3"/>
  <pageSetup orientation="portrait" r:id="rId10"/>
</worksheet>
</file>

<file path=xl/worksheets/sheet9.xml><?xml version="1.0" encoding="utf-8"?>
<worksheet xmlns="http://schemas.openxmlformats.org/spreadsheetml/2006/main" xmlns:r="http://schemas.openxmlformats.org/officeDocument/2006/relationships">
  <dimension ref="A1:C196"/>
  <sheetViews>
    <sheetView workbookViewId="0">
      <selection activeCell="E29" sqref="E29"/>
    </sheetView>
  </sheetViews>
  <sheetFormatPr defaultRowHeight="12.5"/>
  <cols>
    <col min="1" max="1" width="9.1796875" style="271"/>
    <col min="2" max="2" width="9.1796875" style="272"/>
    <col min="3" max="3" width="9.1796875" style="273"/>
  </cols>
  <sheetData>
    <row r="1" spans="1:3" ht="13">
      <c r="A1" s="650"/>
      <c r="B1" s="7"/>
      <c r="C1" s="7"/>
    </row>
    <row r="2" spans="1:3" ht="13">
      <c r="A2" s="650"/>
      <c r="B2" s="7"/>
      <c r="C2" s="7"/>
    </row>
    <row r="3" spans="1:3">
      <c r="A3" s="258"/>
      <c r="B3" s="7"/>
      <c r="C3" s="7"/>
    </row>
    <row r="4" spans="1:3">
      <c r="A4" s="258"/>
      <c r="B4" s="7"/>
      <c r="C4" s="7"/>
    </row>
    <row r="5" spans="1:3" ht="14.5">
      <c r="A5" s="655" t="s">
        <v>449</v>
      </c>
      <c r="B5" s="7"/>
      <c r="C5" s="7"/>
    </row>
    <row r="6" spans="1:3">
      <c r="A6" s="220" t="s">
        <v>450</v>
      </c>
      <c r="B6" s="7"/>
      <c r="C6" s="7"/>
    </row>
    <row r="7" spans="1:3" ht="14.5">
      <c r="A7" s="654" t="s">
        <v>445</v>
      </c>
      <c r="B7" s="7"/>
      <c r="C7" s="7"/>
    </row>
    <row r="8" spans="1:3" ht="14.5">
      <c r="A8" s="654" t="s">
        <v>446</v>
      </c>
      <c r="B8" s="7"/>
      <c r="C8" s="7"/>
    </row>
    <row r="9" spans="1:3" ht="14.5">
      <c r="A9" s="654" t="s">
        <v>447</v>
      </c>
      <c r="B9" s="7"/>
      <c r="C9" s="7"/>
    </row>
    <row r="10" spans="1:3" ht="14.5">
      <c r="A10" s="654" t="s">
        <v>448</v>
      </c>
      <c r="B10" s="7"/>
      <c r="C10" s="7"/>
    </row>
    <row r="11" spans="1:3" ht="14.5">
      <c r="A11" s="653" t="s">
        <v>460</v>
      </c>
      <c r="B11"/>
      <c r="C11"/>
    </row>
    <row r="12" spans="1:3" ht="14.5">
      <c r="A12" s="654" t="s">
        <v>453</v>
      </c>
      <c r="B12"/>
      <c r="C12"/>
    </row>
    <row r="13" spans="1:3" ht="14.5">
      <c r="A13" s="654" t="s">
        <v>454</v>
      </c>
      <c r="B13"/>
      <c r="C13"/>
    </row>
    <row r="14" spans="1:3">
      <c r="A14" s="220" t="s">
        <v>457</v>
      </c>
      <c r="B14"/>
      <c r="C14"/>
    </row>
    <row r="15" spans="1:3">
      <c r="A15" s="220"/>
      <c r="B15"/>
      <c r="C15"/>
    </row>
    <row r="16" spans="1:3" ht="13">
      <c r="A16" s="85" t="s">
        <v>458</v>
      </c>
      <c r="B16" s="7"/>
      <c r="C16" s="7"/>
    </row>
    <row r="17" spans="1:3">
      <c r="A17" s="245" t="s">
        <v>467</v>
      </c>
      <c r="B17" s="7"/>
      <c r="C17" s="7"/>
    </row>
    <row r="18" spans="1:3">
      <c r="A18" s="245" t="s">
        <v>459</v>
      </c>
      <c r="B18" s="7"/>
      <c r="C18" s="7"/>
    </row>
    <row r="19" spans="1:3">
      <c r="A19" s="258"/>
      <c r="B19" s="7"/>
      <c r="C19" s="7"/>
    </row>
    <row r="20" spans="1:3" ht="13">
      <c r="A20" s="85" t="s">
        <v>464</v>
      </c>
      <c r="B20" s="7"/>
      <c r="C20" s="7"/>
    </row>
    <row r="21" spans="1:3">
      <c r="A21" s="245" t="s">
        <v>465</v>
      </c>
      <c r="B21" s="7"/>
      <c r="C21" s="7"/>
    </row>
    <row r="22" spans="1:3">
      <c r="A22" s="245" t="s">
        <v>466</v>
      </c>
      <c r="B22" s="7"/>
      <c r="C22" s="7"/>
    </row>
    <row r="23" spans="1:3">
      <c r="A23" s="651"/>
      <c r="B23" s="7"/>
      <c r="C23" s="7"/>
    </row>
    <row r="24" spans="1:3" ht="13">
      <c r="A24" s="660" t="s">
        <v>472</v>
      </c>
      <c r="B24" s="7"/>
      <c r="C24" s="7"/>
    </row>
    <row r="25" spans="1:3">
      <c r="A25" s="661" t="s">
        <v>476</v>
      </c>
      <c r="B25" s="7"/>
      <c r="C25" s="7"/>
    </row>
    <row r="26" spans="1:3">
      <c r="A26" s="245" t="s">
        <v>473</v>
      </c>
      <c r="B26" s="7"/>
      <c r="C26" s="7"/>
    </row>
    <row r="27" spans="1:3">
      <c r="A27" s="258"/>
      <c r="B27" s="7"/>
      <c r="C27" s="7"/>
    </row>
    <row r="28" spans="1:3">
      <c r="A28" s="245" t="s">
        <v>474</v>
      </c>
      <c r="B28" s="7"/>
      <c r="C28" s="7"/>
    </row>
    <row r="29" spans="1:3">
      <c r="A29" s="245" t="s">
        <v>475</v>
      </c>
      <c r="B29" s="7"/>
      <c r="C29" s="7"/>
    </row>
    <row r="30" spans="1:3">
      <c r="A30" s="258"/>
      <c r="B30" s="7"/>
      <c r="C30" s="7"/>
    </row>
    <row r="31" spans="1:3" ht="13">
      <c r="A31" s="85" t="s">
        <v>486</v>
      </c>
      <c r="B31" s="7"/>
      <c r="C31" s="7"/>
    </row>
    <row r="32" spans="1:3">
      <c r="A32" s="258" t="s">
        <v>487</v>
      </c>
      <c r="B32" s="7"/>
      <c r="C32" s="7"/>
    </row>
    <row r="33" spans="1:3">
      <c r="A33" s="258"/>
      <c r="B33" s="7"/>
      <c r="C33" s="7"/>
    </row>
    <row r="34" spans="1:3">
      <c r="A34" s="258"/>
      <c r="B34" s="7"/>
      <c r="C34" s="7"/>
    </row>
    <row r="35" spans="1:3" ht="13">
      <c r="A35" s="650"/>
      <c r="B35" s="7"/>
      <c r="C35" s="7"/>
    </row>
    <row r="36" spans="1:3" ht="13">
      <c r="A36" s="650"/>
      <c r="B36" s="7"/>
      <c r="C36" s="7"/>
    </row>
    <row r="37" spans="1:3" ht="13">
      <c r="A37" s="652"/>
      <c r="B37" s="7"/>
      <c r="C37" s="7"/>
    </row>
    <row r="38" spans="1:3" ht="13">
      <c r="A38" s="652"/>
      <c r="B38" s="7"/>
      <c r="C38" s="7"/>
    </row>
    <row r="39" spans="1:3" ht="13">
      <c r="A39" s="652"/>
      <c r="B39" s="7"/>
      <c r="C39" s="7"/>
    </row>
    <row r="40" spans="1:3" ht="13">
      <c r="A40" s="652"/>
      <c r="B40" s="7"/>
      <c r="C40" s="7"/>
    </row>
    <row r="41" spans="1:3" ht="13">
      <c r="A41" s="652"/>
      <c r="B41" s="7"/>
      <c r="C41" s="7"/>
    </row>
    <row r="42" spans="1:3" ht="13">
      <c r="A42" s="650"/>
      <c r="B42" s="7"/>
      <c r="C42" s="7"/>
    </row>
    <row r="43" spans="1:3">
      <c r="A43" s="258"/>
      <c r="B43" s="7"/>
      <c r="C43" s="7"/>
    </row>
    <row r="44" spans="1:3">
      <c r="A44" s="258"/>
      <c r="B44" s="7"/>
      <c r="C44" s="7"/>
    </row>
    <row r="45" spans="1:3">
      <c r="A45" s="258"/>
      <c r="B45" s="7"/>
      <c r="C45" s="7"/>
    </row>
    <row r="46" spans="1:3">
      <c r="A46" s="258"/>
      <c r="B46" s="7"/>
      <c r="C46" s="7"/>
    </row>
    <row r="47" spans="1:3">
      <c r="A47" s="258"/>
      <c r="B47" s="7"/>
      <c r="C47" s="7"/>
    </row>
    <row r="48" spans="1:3">
      <c r="A48" s="258"/>
      <c r="B48" s="7"/>
      <c r="C48" s="7"/>
    </row>
    <row r="49" spans="1:3">
      <c r="A49" s="258"/>
      <c r="B49" s="7"/>
      <c r="C49" s="7"/>
    </row>
    <row r="50" spans="1:3">
      <c r="A50" s="258"/>
      <c r="B50" s="7"/>
      <c r="C50" s="7"/>
    </row>
    <row r="51" spans="1:3">
      <c r="A51" s="258"/>
      <c r="B51" s="7"/>
      <c r="C51" s="7"/>
    </row>
    <row r="52" spans="1:3">
      <c r="A52" s="258"/>
      <c r="B52" s="7"/>
      <c r="C52" s="7"/>
    </row>
    <row r="53" spans="1:3">
      <c r="A53" s="258"/>
      <c r="B53" s="7"/>
      <c r="C53" s="7"/>
    </row>
    <row r="54" spans="1:3">
      <c r="A54" s="258"/>
      <c r="B54" s="7"/>
      <c r="C54" s="7"/>
    </row>
    <row r="55" spans="1:3">
      <c r="A55" s="258"/>
      <c r="B55" s="7"/>
      <c r="C55" s="7"/>
    </row>
    <row r="56" spans="1:3">
      <c r="A56" s="258"/>
      <c r="B56" s="7"/>
      <c r="C56" s="7"/>
    </row>
    <row r="57" spans="1:3">
      <c r="A57" s="258"/>
      <c r="B57" s="7"/>
      <c r="C57" s="7"/>
    </row>
    <row r="58" spans="1:3">
      <c r="A58" s="258"/>
      <c r="B58" s="7"/>
      <c r="C58" s="7"/>
    </row>
    <row r="59" spans="1:3">
      <c r="A59" s="258"/>
      <c r="B59" s="7"/>
      <c r="C59" s="7"/>
    </row>
    <row r="60" spans="1:3">
      <c r="A60" s="258"/>
      <c r="B60" s="7"/>
      <c r="C60" s="7"/>
    </row>
    <row r="61" spans="1:3">
      <c r="A61" s="258"/>
      <c r="B61" s="7"/>
      <c r="C61" s="7"/>
    </row>
    <row r="62" spans="1:3" ht="13">
      <c r="A62" s="650"/>
      <c r="B62" s="7"/>
      <c r="C62" s="7"/>
    </row>
    <row r="63" spans="1:3" ht="13">
      <c r="A63" s="650"/>
      <c r="B63" s="7"/>
      <c r="C63" s="7"/>
    </row>
    <row r="64" spans="1:3" ht="13">
      <c r="A64" s="652"/>
      <c r="B64" s="7"/>
      <c r="C64" s="7"/>
    </row>
    <row r="65" spans="1:3" ht="13">
      <c r="A65" s="652"/>
      <c r="B65" s="7"/>
      <c r="C65" s="7"/>
    </row>
    <row r="66" spans="1:3" ht="13">
      <c r="A66" s="652"/>
      <c r="B66" s="7"/>
      <c r="C66" s="7"/>
    </row>
    <row r="67" spans="1:3" ht="13">
      <c r="A67" s="652"/>
      <c r="B67" s="7"/>
      <c r="C67" s="7"/>
    </row>
    <row r="68" spans="1:3" ht="13">
      <c r="A68" s="652"/>
      <c r="B68" s="7"/>
      <c r="C68" s="7"/>
    </row>
    <row r="69" spans="1:3" ht="13">
      <c r="A69" s="652"/>
      <c r="B69" s="7"/>
      <c r="C69" s="7"/>
    </row>
    <row r="70" spans="1:3" ht="13">
      <c r="A70" s="650"/>
      <c r="B70" s="7"/>
      <c r="C70" s="7"/>
    </row>
    <row r="71" spans="1:3">
      <c r="A71" s="258"/>
      <c r="B71" s="7"/>
      <c r="C71" s="7"/>
    </row>
    <row r="72" spans="1:3">
      <c r="A72" s="258"/>
      <c r="B72" s="7"/>
      <c r="C72" s="7"/>
    </row>
    <row r="73" spans="1:3">
      <c r="A73" s="258"/>
      <c r="B73" s="7"/>
      <c r="C73" s="7"/>
    </row>
    <row r="74" spans="1:3">
      <c r="A74" s="258"/>
      <c r="B74" s="7"/>
      <c r="C74" s="7"/>
    </row>
    <row r="75" spans="1:3">
      <c r="A75" s="258"/>
      <c r="B75" s="7"/>
      <c r="C75" s="7"/>
    </row>
    <row r="76" spans="1:3">
      <c r="A76" s="258"/>
      <c r="B76" s="7"/>
      <c r="C76" s="7"/>
    </row>
    <row r="77" spans="1:3">
      <c r="A77" s="258"/>
      <c r="B77" s="7"/>
      <c r="C77" s="7"/>
    </row>
    <row r="78" spans="1:3">
      <c r="A78" s="258"/>
      <c r="B78" s="7"/>
      <c r="C78" s="7"/>
    </row>
    <row r="79" spans="1:3">
      <c r="A79" s="258"/>
      <c r="B79" s="7"/>
      <c r="C79" s="7"/>
    </row>
    <row r="80" spans="1:3">
      <c r="A80" s="258"/>
      <c r="B80" s="7"/>
      <c r="C80" s="7"/>
    </row>
    <row r="81" spans="1:3">
      <c r="A81" s="258"/>
      <c r="B81" s="7"/>
      <c r="C81" s="7"/>
    </row>
    <row r="82" spans="1:3">
      <c r="A82" s="258"/>
      <c r="B82" s="7"/>
      <c r="C82" s="7"/>
    </row>
    <row r="83" spans="1:3">
      <c r="A83" s="258"/>
      <c r="B83" s="7"/>
      <c r="C83" s="7"/>
    </row>
    <row r="84" spans="1:3">
      <c r="A84" s="258"/>
      <c r="B84" s="7"/>
      <c r="C84" s="7"/>
    </row>
    <row r="85" spans="1:3">
      <c r="A85" s="258"/>
      <c r="B85" s="7"/>
      <c r="C85" s="7"/>
    </row>
    <row r="86" spans="1:3">
      <c r="A86" s="258"/>
      <c r="B86" s="7"/>
      <c r="C86" s="7"/>
    </row>
    <row r="87" spans="1:3">
      <c r="A87" s="258"/>
      <c r="B87" s="7"/>
      <c r="C87" s="7"/>
    </row>
    <row r="88" spans="1:3">
      <c r="A88" s="258"/>
      <c r="B88" s="7"/>
      <c r="C88" s="7"/>
    </row>
    <row r="89" spans="1:3">
      <c r="A89" s="258"/>
      <c r="B89" s="7"/>
      <c r="C89" s="7"/>
    </row>
    <row r="90" spans="1:3" ht="13">
      <c r="A90" s="650"/>
      <c r="B90" s="7"/>
      <c r="C90" s="7"/>
    </row>
    <row r="91" spans="1:3" ht="13">
      <c r="A91" s="650"/>
      <c r="B91" s="7"/>
      <c r="C91" s="7"/>
    </row>
    <row r="92" spans="1:3" ht="13">
      <c r="A92" s="652"/>
      <c r="B92" s="7"/>
      <c r="C92" s="7"/>
    </row>
    <row r="93" spans="1:3" ht="13">
      <c r="A93" s="652"/>
      <c r="B93" s="7"/>
      <c r="C93" s="7"/>
    </row>
    <row r="94" spans="1:3" ht="13">
      <c r="A94" s="652"/>
      <c r="B94" s="7"/>
      <c r="C94" s="7"/>
    </row>
    <row r="95" spans="1:3" ht="13">
      <c r="A95" s="652"/>
      <c r="B95" s="7"/>
      <c r="C95" s="7"/>
    </row>
    <row r="96" spans="1:3" ht="13">
      <c r="A96" s="652"/>
      <c r="B96" s="7"/>
      <c r="C96" s="7"/>
    </row>
    <row r="97" spans="1:3" ht="13">
      <c r="A97" s="650"/>
      <c r="B97" s="7"/>
      <c r="C97" s="7"/>
    </row>
    <row r="98" spans="1:3" ht="13">
      <c r="A98" s="650"/>
      <c r="B98" s="7"/>
      <c r="C98" s="7"/>
    </row>
    <row r="99" spans="1:3">
      <c r="A99" s="258"/>
      <c r="B99" s="7"/>
      <c r="C99" s="7"/>
    </row>
    <row r="100" spans="1:3">
      <c r="A100" s="258"/>
      <c r="B100" s="7"/>
      <c r="C100" s="7"/>
    </row>
    <row r="101" spans="1:3">
      <c r="A101" s="258"/>
      <c r="B101" s="7"/>
      <c r="C101" s="7"/>
    </row>
    <row r="102" spans="1:3">
      <c r="A102" s="258"/>
      <c r="B102" s="7"/>
      <c r="C102" s="7"/>
    </row>
    <row r="103" spans="1:3">
      <c r="A103" s="258"/>
      <c r="B103" s="7"/>
      <c r="C103" s="7"/>
    </row>
    <row r="104" spans="1:3">
      <c r="A104" s="258"/>
      <c r="B104" s="7"/>
      <c r="C104" s="7"/>
    </row>
    <row r="105" spans="1:3">
      <c r="A105" s="258"/>
      <c r="B105" s="7"/>
      <c r="C105" s="7"/>
    </row>
    <row r="106" spans="1:3">
      <c r="A106" s="258"/>
      <c r="B106" s="7"/>
      <c r="C106" s="7"/>
    </row>
    <row r="107" spans="1:3">
      <c r="A107" s="258"/>
      <c r="B107" s="7"/>
      <c r="C107" s="7"/>
    </row>
    <row r="108" spans="1:3">
      <c r="A108" s="258"/>
      <c r="B108" s="7"/>
      <c r="C108" s="7"/>
    </row>
    <row r="109" spans="1:3">
      <c r="A109" s="258"/>
      <c r="B109" s="7"/>
      <c r="C109" s="7"/>
    </row>
    <row r="110" spans="1:3" ht="13">
      <c r="A110" s="650"/>
      <c r="B110" s="7"/>
      <c r="C110" s="7"/>
    </row>
    <row r="111" spans="1:3" ht="13">
      <c r="A111" s="650"/>
      <c r="B111" s="7"/>
      <c r="C111" s="7"/>
    </row>
    <row r="112" spans="1:3" ht="13">
      <c r="A112" s="652"/>
      <c r="B112" s="7"/>
      <c r="C112" s="7"/>
    </row>
    <row r="113" spans="1:3" ht="13">
      <c r="A113" s="652"/>
      <c r="B113" s="7"/>
      <c r="C113" s="7"/>
    </row>
    <row r="114" spans="1:3" ht="13">
      <c r="A114" s="652"/>
      <c r="B114" s="7"/>
      <c r="C114" s="7"/>
    </row>
    <row r="115" spans="1:3" ht="13">
      <c r="A115" s="652"/>
      <c r="B115" s="7"/>
      <c r="C115" s="7"/>
    </row>
    <row r="116" spans="1:3" ht="13">
      <c r="A116" s="652"/>
      <c r="B116" s="7"/>
      <c r="C116" s="7"/>
    </row>
    <row r="117" spans="1:3" ht="13">
      <c r="A117" s="652"/>
      <c r="B117" s="7"/>
      <c r="C117" s="7"/>
    </row>
    <row r="118" spans="1:3" ht="13">
      <c r="A118" s="652"/>
      <c r="B118" s="7"/>
      <c r="C118" s="7"/>
    </row>
    <row r="119" spans="1:3" ht="13">
      <c r="A119" s="652"/>
      <c r="B119" s="7"/>
      <c r="C119" s="7"/>
    </row>
    <row r="120" spans="1:3" ht="13">
      <c r="A120" s="650"/>
      <c r="B120" s="7"/>
      <c r="C120" s="7"/>
    </row>
    <row r="121" spans="1:3">
      <c r="A121" s="258"/>
      <c r="B121" s="7"/>
      <c r="C121" s="7"/>
    </row>
    <row r="122" spans="1:3">
      <c r="A122" s="258"/>
      <c r="B122" s="7"/>
      <c r="C122" s="7"/>
    </row>
    <row r="123" spans="1:3">
      <c r="A123" s="258"/>
      <c r="B123" s="7"/>
      <c r="C123" s="7"/>
    </row>
    <row r="124" spans="1:3">
      <c r="A124" s="258"/>
      <c r="B124" s="7"/>
      <c r="C124" s="7"/>
    </row>
    <row r="125" spans="1:3">
      <c r="A125" s="258"/>
      <c r="B125" s="7"/>
      <c r="C125" s="7"/>
    </row>
    <row r="126" spans="1:3">
      <c r="A126" s="258"/>
      <c r="B126" s="7"/>
      <c r="C126" s="7"/>
    </row>
    <row r="127" spans="1:3">
      <c r="A127" s="258"/>
      <c r="B127" s="7"/>
      <c r="C127" s="7"/>
    </row>
    <row r="128" spans="1:3">
      <c r="A128" s="258"/>
      <c r="B128" s="7"/>
      <c r="C128" s="7"/>
    </row>
    <row r="129" spans="1:3">
      <c r="A129" s="258"/>
      <c r="B129" s="7"/>
      <c r="C129" s="7"/>
    </row>
    <row r="130" spans="1:3">
      <c r="A130" s="258"/>
      <c r="B130" s="7"/>
      <c r="C130" s="7"/>
    </row>
    <row r="131" spans="1:3">
      <c r="A131" s="258"/>
      <c r="B131" s="7"/>
      <c r="C131" s="7"/>
    </row>
    <row r="132" spans="1:3">
      <c r="A132" s="258"/>
      <c r="B132" s="7"/>
      <c r="C132" s="7"/>
    </row>
    <row r="133" spans="1:3">
      <c r="A133" s="258"/>
      <c r="B133" s="7"/>
      <c r="C133" s="7"/>
    </row>
    <row r="134" spans="1:3">
      <c r="A134" s="258"/>
      <c r="B134" s="7"/>
      <c r="C134" s="7"/>
    </row>
    <row r="135" spans="1:3">
      <c r="A135" s="258"/>
      <c r="B135" s="7"/>
      <c r="C135" s="7"/>
    </row>
    <row r="136" spans="1:3">
      <c r="A136" s="258"/>
      <c r="B136" s="7"/>
      <c r="C136" s="7"/>
    </row>
    <row r="137" spans="1:3" ht="13">
      <c r="A137" s="650"/>
      <c r="B137" s="7"/>
      <c r="C137" s="7"/>
    </row>
    <row r="138" spans="1:3" ht="13">
      <c r="A138" s="650"/>
      <c r="B138" s="7"/>
      <c r="C138" s="7"/>
    </row>
    <row r="139" spans="1:3" ht="13">
      <c r="A139" s="652"/>
      <c r="B139" s="7"/>
      <c r="C139" s="7"/>
    </row>
    <row r="140" spans="1:3" ht="13">
      <c r="A140" s="652"/>
      <c r="B140" s="7"/>
      <c r="C140" s="7"/>
    </row>
    <row r="141" spans="1:3" ht="13">
      <c r="A141" s="650"/>
      <c r="B141" s="7"/>
      <c r="C141" s="7"/>
    </row>
    <row r="142" spans="1:3" ht="13">
      <c r="A142" s="652"/>
      <c r="B142" s="7"/>
      <c r="C142" s="7"/>
    </row>
    <row r="143" spans="1:3" ht="13">
      <c r="A143" s="652"/>
      <c r="B143" s="7"/>
      <c r="C143" s="7"/>
    </row>
    <row r="144" spans="1:3" ht="13">
      <c r="A144" s="652"/>
      <c r="B144" s="7"/>
      <c r="C144" s="7"/>
    </row>
    <row r="145" spans="1:3" ht="13">
      <c r="A145" s="652"/>
      <c r="B145" s="7"/>
      <c r="C145" s="7"/>
    </row>
    <row r="146" spans="1:3" ht="13">
      <c r="A146" s="652"/>
      <c r="B146" s="7"/>
      <c r="C146" s="7"/>
    </row>
    <row r="147" spans="1:3" ht="13">
      <c r="A147" s="650"/>
      <c r="B147" s="7"/>
      <c r="C147" s="7"/>
    </row>
    <row r="148" spans="1:3">
      <c r="A148" s="258"/>
      <c r="B148" s="7"/>
      <c r="C148" s="7"/>
    </row>
    <row r="149" spans="1:3">
      <c r="A149" s="258"/>
      <c r="B149" s="7"/>
      <c r="C149" s="7"/>
    </row>
    <row r="150" spans="1:3">
      <c r="A150" s="258"/>
      <c r="B150" s="7"/>
      <c r="C150" s="7"/>
    </row>
    <row r="151" spans="1:3">
      <c r="A151" s="258"/>
      <c r="B151" s="7"/>
      <c r="C151" s="7"/>
    </row>
    <row r="152" spans="1:3">
      <c r="A152" s="258"/>
      <c r="B152" s="7"/>
      <c r="C152" s="7"/>
    </row>
    <row r="153" spans="1:3">
      <c r="A153" s="258"/>
      <c r="B153" s="7"/>
      <c r="C153" s="7"/>
    </row>
    <row r="154" spans="1:3">
      <c r="A154" s="258"/>
      <c r="B154" s="7"/>
      <c r="C154" s="7"/>
    </row>
    <row r="155" spans="1:3">
      <c r="A155" s="258"/>
      <c r="B155" s="7"/>
      <c r="C155" s="7"/>
    </row>
    <row r="156" spans="1:3" ht="13">
      <c r="A156" s="650"/>
      <c r="B156" s="7"/>
      <c r="C156" s="7"/>
    </row>
    <row r="157" spans="1:3" ht="13">
      <c r="A157" s="650"/>
      <c r="B157" s="7"/>
      <c r="C157" s="7"/>
    </row>
    <row r="158" spans="1:3" ht="13">
      <c r="A158" s="652"/>
      <c r="B158" s="7"/>
      <c r="C158" s="7"/>
    </row>
    <row r="159" spans="1:3" ht="13">
      <c r="A159" s="652"/>
      <c r="B159" s="7"/>
      <c r="C159" s="7"/>
    </row>
    <row r="160" spans="1:3" ht="13">
      <c r="A160" s="652"/>
      <c r="B160" s="7"/>
      <c r="C160" s="7"/>
    </row>
    <row r="161" spans="1:3">
      <c r="A161" s="258"/>
      <c r="B161" s="7"/>
      <c r="C161" s="7"/>
    </row>
    <row r="162" spans="1:3" ht="13">
      <c r="A162" s="650"/>
      <c r="B162" s="7"/>
      <c r="C162" s="7"/>
    </row>
    <row r="163" spans="1:3">
      <c r="A163" s="258"/>
      <c r="B163" s="7"/>
      <c r="C163" s="7"/>
    </row>
    <row r="164" spans="1:3">
      <c r="A164" s="258"/>
      <c r="B164" s="7"/>
      <c r="C164" s="7"/>
    </row>
    <row r="165" spans="1:3">
      <c r="A165" s="258"/>
      <c r="B165" s="7"/>
      <c r="C165" s="7"/>
    </row>
    <row r="166" spans="1:3">
      <c r="A166" s="258"/>
      <c r="B166" s="7"/>
      <c r="C166" s="7"/>
    </row>
    <row r="167" spans="1:3">
      <c r="A167" s="258"/>
      <c r="B167" s="7"/>
      <c r="C167" s="7"/>
    </row>
    <row r="168" spans="1:3">
      <c r="A168" s="258"/>
      <c r="B168" s="7"/>
      <c r="C168" s="7"/>
    </row>
    <row r="169" spans="1:3">
      <c r="A169" s="258"/>
      <c r="B169" s="7"/>
      <c r="C169" s="7"/>
    </row>
    <row r="170" spans="1:3">
      <c r="A170" s="258"/>
      <c r="B170" s="7"/>
      <c r="C170" s="7"/>
    </row>
    <row r="171" spans="1:3">
      <c r="A171" s="258"/>
      <c r="B171" s="7"/>
      <c r="C171" s="7"/>
    </row>
    <row r="172" spans="1:3">
      <c r="A172" s="258"/>
      <c r="B172" s="7"/>
      <c r="C172" s="7"/>
    </row>
    <row r="173" spans="1:3">
      <c r="A173" s="258"/>
      <c r="B173" s="7"/>
      <c r="C173" s="7"/>
    </row>
    <row r="174" spans="1:3">
      <c r="A174" s="258"/>
      <c r="B174" s="7"/>
      <c r="C174" s="7"/>
    </row>
    <row r="175" spans="1:3">
      <c r="A175" s="258"/>
      <c r="B175" s="7"/>
      <c r="C175" s="7"/>
    </row>
    <row r="176" spans="1:3">
      <c r="A176" s="258"/>
      <c r="B176" s="7"/>
      <c r="C176" s="7"/>
    </row>
    <row r="177" spans="1:3">
      <c r="A177" s="258"/>
      <c r="B177" s="7"/>
      <c r="C177" s="7"/>
    </row>
    <row r="178" spans="1:3">
      <c r="A178" s="258"/>
      <c r="B178" s="7"/>
      <c r="C178" s="7"/>
    </row>
    <row r="179" spans="1:3">
      <c r="A179" s="258"/>
      <c r="B179" s="7"/>
      <c r="C179" s="7"/>
    </row>
    <row r="180" spans="1:3">
      <c r="A180" s="258"/>
      <c r="B180" s="7"/>
      <c r="C180" s="7"/>
    </row>
    <row r="181" spans="1:3">
      <c r="A181" s="258"/>
      <c r="B181" s="7"/>
      <c r="C181" s="7"/>
    </row>
    <row r="182" spans="1:3">
      <c r="A182" s="258"/>
      <c r="B182" s="7"/>
      <c r="C182" s="7"/>
    </row>
    <row r="183" spans="1:3">
      <c r="A183" s="258"/>
      <c r="B183" s="7"/>
      <c r="C183" s="7"/>
    </row>
    <row r="184" spans="1:3">
      <c r="A184" s="258"/>
      <c r="B184" s="7"/>
      <c r="C184" s="7"/>
    </row>
    <row r="185" spans="1:3" ht="13">
      <c r="A185" s="650"/>
      <c r="B185" s="7"/>
      <c r="C185" s="7"/>
    </row>
    <row r="186" spans="1:3" ht="13">
      <c r="A186" s="650"/>
      <c r="B186" s="7"/>
      <c r="C186" s="7"/>
    </row>
    <row r="187" spans="1:3" ht="13">
      <c r="A187" s="652"/>
      <c r="B187" s="7"/>
      <c r="C187" s="7"/>
    </row>
    <row r="188" spans="1:3">
      <c r="A188" s="258"/>
      <c r="B188" s="7"/>
      <c r="C188" s="7"/>
    </row>
    <row r="189" spans="1:3">
      <c r="A189" s="258"/>
      <c r="B189" s="7"/>
      <c r="C189" s="7"/>
    </row>
    <row r="190" spans="1:3" ht="13">
      <c r="A190" s="650"/>
      <c r="B190" s="7"/>
      <c r="C190" s="7"/>
    </row>
    <row r="191" spans="1:3">
      <c r="A191" s="258"/>
      <c r="B191" s="7"/>
      <c r="C191" s="7"/>
    </row>
    <row r="192" spans="1:3">
      <c r="A192" s="258"/>
      <c r="B192" s="7"/>
      <c r="C192" s="7"/>
    </row>
    <row r="193" spans="1:3">
      <c r="A193" s="258"/>
      <c r="B193" s="7"/>
      <c r="C193" s="7"/>
    </row>
    <row r="194" spans="1:3">
      <c r="A194" s="258"/>
      <c r="B194" s="7"/>
      <c r="C194" s="7"/>
    </row>
    <row r="195" spans="1:3">
      <c r="A195" s="258"/>
      <c r="B195" s="7"/>
      <c r="C195" s="7"/>
    </row>
    <row r="196" spans="1:3">
      <c r="A196" s="258"/>
      <c r="B196" s="7"/>
      <c r="C196" s="7"/>
    </row>
  </sheetData>
  <customSheetViews>
    <customSheetView guid="{7A9890A5-7CC2-466F-AA52-39E8D428DC1C}">
      <selection activeCell="E29" sqref="E29"/>
      <pageMargins left="0.7" right="0.7" top="0.75" bottom="0.75" header="0.3" footer="0.3"/>
      <pageSetup orientation="portrait" r:id="rId1"/>
    </customSheetView>
    <customSheetView guid="{567C3053-2D8E-4705-8DC7-18896C5303CA}" showPageBreaks="1">
      <selection activeCell="E29" sqref="E29"/>
      <pageMargins left="0.7" right="0.7" top="0.75" bottom="0.75" header="0.3" footer="0.3"/>
      <pageSetup orientation="portrait" r:id="rId2"/>
    </customSheetView>
    <customSheetView guid="{AEFEB150-9213-45F5-A178-7AC71E46DB11}" topLeftCell="A4">
      <selection activeCell="B14" sqref="B14"/>
      <pageMargins left="0.7" right="0.7" top="0.75" bottom="0.75" header="0.3" footer="0.3"/>
      <pageSetup orientation="portrait" r:id="rId3"/>
    </customSheetView>
    <customSheetView guid="{E81D05A4-5B21-42D3-A8D3-906ABCABC0F4}">
      <selection activeCell="H28" sqref="H28"/>
      <pageMargins left="0.7" right="0.7" top="0.75" bottom="0.75" header="0.3" footer="0.3"/>
      <pageSetup orientation="portrait" r:id="rId4"/>
    </customSheetView>
    <customSheetView guid="{A2518DB3-3A80-4035-9307-EC50A7C923F2}">
      <selection activeCell="C21" sqref="C21"/>
      <pageMargins left="0.7" right="0.7" top="0.75" bottom="0.75" header="0.3" footer="0.3"/>
      <pageSetup orientation="portrait" r:id="rId5"/>
    </customSheetView>
    <customSheetView guid="{50528D02-548E-47E0-94D7-D1E79CD3569C}">
      <selection activeCell="C21" sqref="C21"/>
      <pageMargins left="0.7" right="0.7" top="0.75" bottom="0.75" header="0.3" footer="0.3"/>
      <pageSetup orientation="portrait" r:id="rId6"/>
    </customSheetView>
    <customSheetView guid="{E44F5FE1-54FC-4AB3-84F9-7D65ACF2DDE7}">
      <selection activeCell="C21" sqref="C21"/>
      <pageMargins left="0.7" right="0.7" top="0.75" bottom="0.75" header="0.3" footer="0.3"/>
      <pageSetup orientation="portrait" r:id="rId7"/>
    </customSheetView>
    <customSheetView guid="{8F508F4D-4777-42BE-9707-8CB9355F7BDB}">
      <selection activeCell="C21" sqref="C21"/>
      <pageMargins left="0.7" right="0.7" top="0.75" bottom="0.75" header="0.3" footer="0.3"/>
      <pageSetup orientation="portrait" r:id="rId8"/>
    </customSheetView>
    <customSheetView guid="{F784130D-F647-4ABA-8943-C79CA5B0FDC4}">
      <selection activeCell="C21" sqref="C21"/>
      <pageMargins left="0.7" right="0.7" top="0.75" bottom="0.75" header="0.3" footer="0.3"/>
      <pageSetup orientation="portrait" r:id="rId9"/>
    </customSheetView>
    <customSheetView guid="{1E5198E1-BA46-4CE0-8628-4F695B0D7A3B}">
      <selection activeCell="C21" sqref="C21"/>
      <pageMargins left="0.7" right="0.7" top="0.75" bottom="0.75" header="0.3" footer="0.3"/>
      <pageSetup orientation="portrait" r:id="rId10"/>
    </customSheetView>
    <customSheetView guid="{455630F5-40FC-47DB-8AD4-712C20B8FB91}">
      <selection activeCell="C21" sqref="C21"/>
      <pageMargins left="0.7" right="0.7" top="0.75" bottom="0.75" header="0.3" footer="0.3"/>
      <pageSetup orientation="portrait" r:id="rId11"/>
    </customSheetView>
    <customSheetView guid="{78CA186D-B240-44D5-8A24-D241DE0B0FD9}">
      <selection activeCell="A26" sqref="A26"/>
      <pageMargins left="0.7" right="0.7" top="0.75" bottom="0.75" header="0.3" footer="0.3"/>
      <pageSetup orientation="portrait" r:id="rId12"/>
    </customSheetView>
    <customSheetView guid="{9D4F0482-B164-4671-805A-E0D2D4DD4720}">
      <selection activeCell="C21" sqref="C21"/>
      <pageMargins left="0.7" right="0.7" top="0.75" bottom="0.75" header="0.3" footer="0.3"/>
      <pageSetup orientation="portrait" r:id="rId13"/>
    </customSheetView>
  </customSheetViews>
  <pageMargins left="0.7" right="0.7" top="0.75" bottom="0.75" header="0.3" footer="0.3"/>
  <pageSetup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Guide</vt:lpstr>
      <vt:lpstr>FY2013 by Approp Title</vt:lpstr>
      <vt:lpstr>FY2013 By Approp Title-Adj</vt:lpstr>
      <vt:lpstr>FY 2013 by Agency</vt:lpstr>
      <vt:lpstr>FY 2013 by Agency-Adj</vt:lpstr>
      <vt:lpstr>Inflator</vt:lpstr>
      <vt:lpstr>Changes</vt:lpstr>
      <vt:lpstr>FY 2013 Notes</vt:lpstr>
      <vt:lpstr>Budget Shifts</vt:lpstr>
      <vt:lpstr>Sheet 4</vt:lpstr>
      <vt:lpstr>Sheet 5</vt:lpstr>
      <vt:lpstr>Sheet 6</vt:lpstr>
    </vt:vector>
  </TitlesOfParts>
  <Company>Organization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Name</dc:creator>
  <cp:lastModifiedBy>silverman</cp:lastModifiedBy>
  <cp:lastPrinted>2010-04-02T19:45:26Z</cp:lastPrinted>
  <dcterms:created xsi:type="dcterms:W3CDTF">2005-02-15T20:21:00Z</dcterms:created>
  <dcterms:modified xsi:type="dcterms:W3CDTF">2012-08-17T18:30:09Z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1281823858</vt:i4>
  </property>
  <property fmtid="{D5CDD505-2E9C-101B-9397-08002B2CF9AE}" pid="3" name="_EmailSubject">
    <vt:lpwstr/>
  </property>
  <property fmtid="{D5CDD505-2E9C-101B-9397-08002B2CF9AE}" pid="4" name="_AuthorEmail">
    <vt:lpwstr>rodgers@dcfpi.org</vt:lpwstr>
  </property>
  <property fmtid="{D5CDD505-2E9C-101B-9397-08002B2CF9AE}" pid="5" name="_AuthorEmailDisplayName">
    <vt:lpwstr>Angie Rodgers</vt:lpwstr>
  </property>
  <property fmtid="{D5CDD505-2E9C-101B-9397-08002B2CF9AE}" pid="6" name="_ReviewingToolsShownOnce">
    <vt:lpwstr/>
  </property>
</Properties>
</file>